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35" windowHeight="8820" activeTab="4"/>
  </bookViews>
  <sheets>
    <sheet name="Титул" sheetId="10" r:id="rId1"/>
    <sheet name="на выход" sheetId="1" r:id="rId2"/>
    <sheet name="сводки БЖУ" sheetId="2" r:id="rId3"/>
    <sheet name="обьемы по приемам пищи" sheetId="9" r:id="rId4"/>
    <sheet name="библиография" sheetId="7" r:id="rId5"/>
    <sheet name="Лист1" sheetId="8" state="hidden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D296" i="1"/>
  <c r="H330" l="1"/>
  <c r="D330"/>
  <c r="H296"/>
  <c r="H262"/>
  <c r="D262"/>
  <c r="H227"/>
  <c r="D227"/>
  <c r="H196"/>
  <c r="D196"/>
  <c r="H162"/>
  <c r="D162"/>
  <c r="H130"/>
  <c r="D130"/>
  <c r="H98"/>
  <c r="D98"/>
  <c r="H63"/>
  <c r="D63"/>
  <c r="H30"/>
  <c r="D30"/>
  <c r="K196"/>
  <c r="F196"/>
  <c r="G196"/>
  <c r="L196"/>
  <c r="L198" s="1"/>
  <c r="K198"/>
  <c r="J196"/>
  <c r="J198" s="1"/>
  <c r="I196"/>
  <c r="I198" s="1"/>
  <c r="H198"/>
  <c r="G198"/>
  <c r="F198"/>
  <c r="E196"/>
  <c r="E198"/>
  <c r="E195"/>
  <c r="F195"/>
  <c r="G195"/>
  <c r="H195"/>
  <c r="I195"/>
  <c r="J195"/>
  <c r="K195"/>
  <c r="L195"/>
  <c r="D195"/>
  <c r="D161"/>
  <c r="E161"/>
  <c r="F161"/>
  <c r="G161"/>
  <c r="H161"/>
  <c r="I161"/>
  <c r="J161"/>
  <c r="K161"/>
  <c r="L161"/>
  <c r="D129"/>
  <c r="E129"/>
  <c r="F129"/>
  <c r="G129"/>
  <c r="H129"/>
  <c r="I129"/>
  <c r="J129"/>
  <c r="K129"/>
  <c r="L129"/>
  <c r="D62"/>
  <c r="E62"/>
  <c r="F62"/>
  <c r="G62"/>
  <c r="H62"/>
  <c r="I62"/>
  <c r="J62"/>
  <c r="K62"/>
  <c r="L62"/>
  <c r="L29"/>
  <c r="K29"/>
  <c r="J29"/>
  <c r="I29"/>
  <c r="H29"/>
  <c r="G29"/>
  <c r="F29"/>
  <c r="E29"/>
  <c r="D29"/>
  <c r="D329" l="1"/>
  <c r="E329"/>
  <c r="F329"/>
  <c r="G329"/>
  <c r="H329"/>
  <c r="I329"/>
  <c r="J329"/>
  <c r="K329"/>
  <c r="L329"/>
  <c r="D323"/>
  <c r="E323"/>
  <c r="F323"/>
  <c r="G323"/>
  <c r="H323"/>
  <c r="I323"/>
  <c r="J323"/>
  <c r="K323"/>
  <c r="L323"/>
  <c r="E308"/>
  <c r="F308"/>
  <c r="G308"/>
  <c r="H308"/>
  <c r="D336" s="1"/>
  <c r="I308"/>
  <c r="J308"/>
  <c r="K308"/>
  <c r="L308"/>
  <c r="L290"/>
  <c r="L295" s="1"/>
  <c r="K290"/>
  <c r="K295" s="1"/>
  <c r="J290"/>
  <c r="J295" s="1"/>
  <c r="I290"/>
  <c r="I295" s="1"/>
  <c r="H290"/>
  <c r="H295" s="1"/>
  <c r="G290"/>
  <c r="G295" s="1"/>
  <c r="F290"/>
  <c r="F295" s="1"/>
  <c r="E290"/>
  <c r="E295" s="1"/>
  <c r="D286"/>
  <c r="E286"/>
  <c r="F286"/>
  <c r="G286"/>
  <c r="H286"/>
  <c r="I286"/>
  <c r="J286"/>
  <c r="K286"/>
  <c r="L286"/>
  <c r="D283"/>
  <c r="E283"/>
  <c r="F283"/>
  <c r="G283"/>
  <c r="H283"/>
  <c r="I283"/>
  <c r="J283"/>
  <c r="K283"/>
  <c r="L283"/>
  <c r="E273"/>
  <c r="F273"/>
  <c r="G273"/>
  <c r="H273"/>
  <c r="I273"/>
  <c r="J273"/>
  <c r="K273"/>
  <c r="L273"/>
  <c r="L92"/>
  <c r="K92"/>
  <c r="J92"/>
  <c r="I92"/>
  <c r="H92"/>
  <c r="G92"/>
  <c r="F92"/>
  <c r="E92"/>
  <c r="L256"/>
  <c r="L261" s="1"/>
  <c r="K256"/>
  <c r="K261" s="1"/>
  <c r="J256"/>
  <c r="J261" s="1"/>
  <c r="I256"/>
  <c r="I261" s="1"/>
  <c r="H256"/>
  <c r="H261" s="1"/>
  <c r="G256"/>
  <c r="G261" s="1"/>
  <c r="F256"/>
  <c r="F261" s="1"/>
  <c r="E256"/>
  <c r="E261" s="1"/>
  <c r="D252"/>
  <c r="E252"/>
  <c r="F252"/>
  <c r="G252"/>
  <c r="H252"/>
  <c r="I252"/>
  <c r="J252"/>
  <c r="K252"/>
  <c r="L252"/>
  <c r="L249"/>
  <c r="K249"/>
  <c r="J249"/>
  <c r="I249"/>
  <c r="H249"/>
  <c r="G249"/>
  <c r="F249"/>
  <c r="E249"/>
  <c r="D249"/>
  <c r="L239"/>
  <c r="K239"/>
  <c r="J239"/>
  <c r="I239"/>
  <c r="H239"/>
  <c r="G239"/>
  <c r="F239"/>
  <c r="E239"/>
  <c r="L226"/>
  <c r="K226"/>
  <c r="J226"/>
  <c r="I226"/>
  <c r="H226"/>
  <c r="G226"/>
  <c r="F226"/>
  <c r="E226"/>
  <c r="D226"/>
  <c r="H220"/>
  <c r="I220"/>
  <c r="J220"/>
  <c r="K220"/>
  <c r="L220"/>
  <c r="F220"/>
  <c r="G220"/>
  <c r="E220"/>
  <c r="D220"/>
  <c r="L217"/>
  <c r="K217"/>
  <c r="J217"/>
  <c r="I217"/>
  <c r="H217"/>
  <c r="G217"/>
  <c r="F217"/>
  <c r="E217"/>
  <c r="D217"/>
  <c r="L207"/>
  <c r="K207"/>
  <c r="J207"/>
  <c r="I207"/>
  <c r="H207"/>
  <c r="G207"/>
  <c r="F207"/>
  <c r="E207"/>
  <c r="L189"/>
  <c r="K189"/>
  <c r="J189"/>
  <c r="I189"/>
  <c r="H189"/>
  <c r="G189"/>
  <c r="F189"/>
  <c r="E189"/>
  <c r="D189"/>
  <c r="L174"/>
  <c r="K174"/>
  <c r="J174"/>
  <c r="I174"/>
  <c r="H174"/>
  <c r="G174"/>
  <c r="F174"/>
  <c r="E174"/>
  <c r="L155"/>
  <c r="K155"/>
  <c r="J155"/>
  <c r="I155"/>
  <c r="H155"/>
  <c r="G155"/>
  <c r="F155"/>
  <c r="E155"/>
  <c r="D155"/>
  <c r="L152"/>
  <c r="K152"/>
  <c r="J152"/>
  <c r="I152"/>
  <c r="H152"/>
  <c r="G152"/>
  <c r="F152"/>
  <c r="E152"/>
  <c r="D152"/>
  <c r="L142"/>
  <c r="K142"/>
  <c r="J142"/>
  <c r="I142"/>
  <c r="H142"/>
  <c r="G142"/>
  <c r="F142"/>
  <c r="E142"/>
  <c r="L122"/>
  <c r="K122"/>
  <c r="J122"/>
  <c r="I122"/>
  <c r="H122"/>
  <c r="G122"/>
  <c r="F122"/>
  <c r="E122"/>
  <c r="D122"/>
  <c r="L119"/>
  <c r="K119"/>
  <c r="J119"/>
  <c r="I119"/>
  <c r="H119"/>
  <c r="G119"/>
  <c r="F119"/>
  <c r="E119"/>
  <c r="D119"/>
  <c r="L110"/>
  <c r="K110"/>
  <c r="J110"/>
  <c r="I110"/>
  <c r="H110"/>
  <c r="G110"/>
  <c r="F110"/>
  <c r="E110"/>
  <c r="L88"/>
  <c r="K88"/>
  <c r="J88"/>
  <c r="I88"/>
  <c r="H88"/>
  <c r="D339" s="1"/>
  <c r="G88"/>
  <c r="F88"/>
  <c r="E88"/>
  <c r="D88"/>
  <c r="L85"/>
  <c r="K85"/>
  <c r="J85"/>
  <c r="I85"/>
  <c r="H85"/>
  <c r="G85"/>
  <c r="F85"/>
  <c r="E85"/>
  <c r="D85"/>
  <c r="L75"/>
  <c r="K75"/>
  <c r="J75"/>
  <c r="I75"/>
  <c r="H75"/>
  <c r="G75"/>
  <c r="F75"/>
  <c r="E75"/>
  <c r="L56"/>
  <c r="K56"/>
  <c r="J56"/>
  <c r="I56"/>
  <c r="H56"/>
  <c r="G56"/>
  <c r="F56"/>
  <c r="E56"/>
  <c r="D56"/>
  <c r="L42"/>
  <c r="K42"/>
  <c r="J42"/>
  <c r="I42"/>
  <c r="H42"/>
  <c r="G42"/>
  <c r="F42"/>
  <c r="E42"/>
  <c r="L23"/>
  <c r="K23"/>
  <c r="J23"/>
  <c r="I23"/>
  <c r="H23"/>
  <c r="G23"/>
  <c r="F23"/>
  <c r="E23"/>
  <c r="L9"/>
  <c r="K9"/>
  <c r="J9"/>
  <c r="I9"/>
  <c r="H9"/>
  <c r="G9"/>
  <c r="F9"/>
  <c r="E9"/>
  <c r="E49" l="1"/>
  <c r="E53" s="1"/>
  <c r="D20"/>
  <c r="E20"/>
  <c r="F20"/>
  <c r="G20"/>
  <c r="H20"/>
  <c r="I20"/>
  <c r="J20"/>
  <c r="K20"/>
  <c r="L20"/>
  <c r="D12" l="1"/>
  <c r="E315" l="1"/>
  <c r="E320" s="1"/>
  <c r="E330" s="1"/>
  <c r="L315"/>
  <c r="L320" s="1"/>
  <c r="K315"/>
  <c r="K320" s="1"/>
  <c r="J315"/>
  <c r="J320" s="1"/>
  <c r="I315"/>
  <c r="I320" s="1"/>
  <c r="H315"/>
  <c r="H320" s="1"/>
  <c r="G315"/>
  <c r="G320" s="1"/>
  <c r="F315"/>
  <c r="F320" s="1"/>
  <c r="F311"/>
  <c r="G311"/>
  <c r="H311"/>
  <c r="I311"/>
  <c r="J311"/>
  <c r="K311"/>
  <c r="L311"/>
  <c r="E311"/>
  <c r="D311"/>
  <c r="F276" l="1"/>
  <c r="G276"/>
  <c r="H276"/>
  <c r="I276"/>
  <c r="J276"/>
  <c r="K276"/>
  <c r="L276"/>
  <c r="E276"/>
  <c r="E296" s="1"/>
  <c r="D276"/>
  <c r="F242"/>
  <c r="G242"/>
  <c r="H242"/>
  <c r="I242"/>
  <c r="J242"/>
  <c r="K242"/>
  <c r="L242"/>
  <c r="E242"/>
  <c r="D242"/>
  <c r="D210"/>
  <c r="F210"/>
  <c r="G210"/>
  <c r="H210"/>
  <c r="I210"/>
  <c r="J210"/>
  <c r="K210"/>
  <c r="L210"/>
  <c r="E210"/>
  <c r="E227" s="1"/>
  <c r="F145"/>
  <c r="G145"/>
  <c r="H145"/>
  <c r="I145"/>
  <c r="J145"/>
  <c r="K145"/>
  <c r="L145"/>
  <c r="E145"/>
  <c r="E162" s="1"/>
  <c r="D145"/>
  <c r="E298" l="1"/>
  <c r="E262"/>
  <c r="E264" s="1"/>
  <c r="E164"/>
  <c r="F113"/>
  <c r="F130" s="1"/>
  <c r="G113"/>
  <c r="G130" s="1"/>
  <c r="H113"/>
  <c r="I113"/>
  <c r="J113"/>
  <c r="K113"/>
  <c r="L113"/>
  <c r="E113"/>
  <c r="E130" s="1"/>
  <c r="D113"/>
  <c r="E97"/>
  <c r="L97"/>
  <c r="K97"/>
  <c r="J97"/>
  <c r="I97"/>
  <c r="H97"/>
  <c r="G97"/>
  <c r="F97"/>
  <c r="F78"/>
  <c r="G78"/>
  <c r="H78"/>
  <c r="I78"/>
  <c r="J78"/>
  <c r="K78"/>
  <c r="L78"/>
  <c r="E78"/>
  <c r="D78"/>
  <c r="G98" l="1"/>
  <c r="F98"/>
  <c r="J98"/>
  <c r="E98"/>
  <c r="K98"/>
  <c r="L98"/>
  <c r="I98"/>
  <c r="F49"/>
  <c r="F53" s="1"/>
  <c r="G49"/>
  <c r="G53" s="1"/>
  <c r="H49"/>
  <c r="H53" s="1"/>
  <c r="I49"/>
  <c r="I53" s="1"/>
  <c r="J49"/>
  <c r="J53" s="1"/>
  <c r="K49"/>
  <c r="K53" s="1"/>
  <c r="L49"/>
  <c r="L53" s="1"/>
  <c r="F45"/>
  <c r="G45"/>
  <c r="H45"/>
  <c r="I45"/>
  <c r="J45"/>
  <c r="K45"/>
  <c r="L45"/>
  <c r="E45"/>
  <c r="E63" s="1"/>
  <c r="D45"/>
  <c r="F63" l="1"/>
  <c r="L63"/>
  <c r="K63"/>
  <c r="I63"/>
  <c r="J63"/>
  <c r="G63"/>
  <c r="E65"/>
  <c r="E181"/>
  <c r="E186" s="1"/>
  <c r="L181"/>
  <c r="L186" s="1"/>
  <c r="K181"/>
  <c r="K186" s="1"/>
  <c r="J181"/>
  <c r="J186" s="1"/>
  <c r="I181"/>
  <c r="I186" s="1"/>
  <c r="H181"/>
  <c r="H186" s="1"/>
  <c r="G181"/>
  <c r="G186" s="1"/>
  <c r="F181"/>
  <c r="F186" s="1"/>
  <c r="F177"/>
  <c r="G177"/>
  <c r="H177"/>
  <c r="I177"/>
  <c r="J177"/>
  <c r="K177"/>
  <c r="L177"/>
  <c r="E177"/>
  <c r="D177"/>
  <c r="F12"/>
  <c r="F30" s="1"/>
  <c r="G12"/>
  <c r="G30" s="1"/>
  <c r="H12"/>
  <c r="I12"/>
  <c r="I30" s="1"/>
  <c r="J12"/>
  <c r="J30" s="1"/>
  <c r="K12"/>
  <c r="K30" s="1"/>
  <c r="L12"/>
  <c r="L30" s="1"/>
  <c r="E12"/>
  <c r="E30" s="1"/>
  <c r="D337" l="1"/>
  <c r="E32"/>
  <c r="G14" i="9" l="1"/>
  <c r="F14"/>
  <c r="E14"/>
  <c r="D14"/>
  <c r="C14"/>
  <c r="F13"/>
  <c r="E13"/>
  <c r="D13"/>
  <c r="C13"/>
  <c r="F12"/>
  <c r="E12"/>
  <c r="D12"/>
  <c r="C12"/>
  <c r="D11"/>
  <c r="C11"/>
  <c r="G10"/>
  <c r="F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F9"/>
  <c r="G11" l="1"/>
  <c r="F11"/>
  <c r="F16" s="1"/>
  <c r="E332" i="1" l="1"/>
  <c r="G12" i="9"/>
  <c r="G7" l="1"/>
  <c r="J162" i="1" l="1"/>
  <c r="J164" s="1"/>
  <c r="I162"/>
  <c r="I164" s="1"/>
  <c r="L162"/>
  <c r="L164" s="1"/>
  <c r="H164"/>
  <c r="K162"/>
  <c r="K164" s="1"/>
  <c r="G162"/>
  <c r="G164" s="1"/>
  <c r="C7" i="9"/>
  <c r="C16" s="1"/>
  <c r="F162" i="1"/>
  <c r="F164" s="1"/>
  <c r="G5" i="9" l="1"/>
  <c r="G16" s="1"/>
  <c r="L330" i="1" l="1"/>
  <c r="L332" s="1"/>
  <c r="K330"/>
  <c r="K332" s="1"/>
  <c r="G330"/>
  <c r="G332" s="1"/>
  <c r="I330"/>
  <c r="I332" s="1"/>
  <c r="F330"/>
  <c r="F332" s="1"/>
  <c r="J330"/>
  <c r="J332" s="1"/>
  <c r="H332" l="1"/>
  <c r="D340" l="1"/>
  <c r="D6" i="9"/>
  <c r="D16" s="1"/>
  <c r="K130" i="1" l="1"/>
  <c r="L130"/>
  <c r="I130"/>
  <c r="J130"/>
  <c r="J8" i="2" l="1"/>
  <c r="L132" i="1"/>
  <c r="I8" i="2"/>
  <c r="K132" i="1"/>
  <c r="H8" i="2"/>
  <c r="J132" i="1"/>
  <c r="G8" i="2"/>
  <c r="I132" i="1"/>
  <c r="F8" i="2"/>
  <c r="H132" i="1"/>
  <c r="E8" i="2"/>
  <c r="G132" i="1"/>
  <c r="D8" i="2"/>
  <c r="F132" i="1"/>
  <c r="G14" i="2"/>
  <c r="E14"/>
  <c r="H14"/>
  <c r="D14"/>
  <c r="I14"/>
  <c r="J14"/>
  <c r="F14"/>
  <c r="C14"/>
  <c r="K100" i="1" l="1"/>
  <c r="G100"/>
  <c r="I100"/>
  <c r="F100"/>
  <c r="J100"/>
  <c r="L100"/>
  <c r="H100" l="1"/>
  <c r="D7" i="2"/>
  <c r="G7"/>
  <c r="E7"/>
  <c r="J7"/>
  <c r="H7"/>
  <c r="I7"/>
  <c r="F7" l="1"/>
  <c r="J15" i="8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F16" l="1"/>
  <c r="G16"/>
  <c r="H16"/>
  <c r="I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G8" s="1"/>
  <c r="F5"/>
  <c r="F8" s="1"/>
  <c r="E5"/>
  <c r="E8" s="1"/>
  <c r="D5"/>
  <c r="D8" s="1"/>
  <c r="C5"/>
  <c r="C8" s="1"/>
  <c r="C9" i="2" l="1"/>
  <c r="F296" i="1"/>
  <c r="F298" s="1"/>
  <c r="G296"/>
  <c r="G298" s="1"/>
  <c r="H298"/>
  <c r="I296"/>
  <c r="I298" s="1"/>
  <c r="J296"/>
  <c r="J298" s="1"/>
  <c r="K296"/>
  <c r="K298" s="1"/>
  <c r="L296"/>
  <c r="L298" s="1"/>
  <c r="D9" i="2"/>
  <c r="E9"/>
  <c r="F9"/>
  <c r="G9"/>
  <c r="H9"/>
  <c r="I9"/>
  <c r="J9"/>
  <c r="D338" i="1" l="1"/>
  <c r="E11" i="9"/>
  <c r="I262" i="1"/>
  <c r="I264" s="1"/>
  <c r="F262"/>
  <c r="F264" s="1"/>
  <c r="J262"/>
  <c r="J264" s="1"/>
  <c r="L262"/>
  <c r="L264" s="1"/>
  <c r="H264"/>
  <c r="K262"/>
  <c r="K264" s="1"/>
  <c r="G262"/>
  <c r="G264" s="1"/>
  <c r="E6" i="9"/>
  <c r="H13" i="2"/>
  <c r="J13"/>
  <c r="F13"/>
  <c r="I13"/>
  <c r="E13"/>
  <c r="G13"/>
  <c r="D13"/>
  <c r="C5"/>
  <c r="C8" l="1"/>
  <c r="E132" i="1"/>
  <c r="J5" i="2"/>
  <c r="L32" i="1"/>
  <c r="I5" i="2"/>
  <c r="K32" i="1"/>
  <c r="H5" i="2"/>
  <c r="J32" i="1"/>
  <c r="G5" i="2"/>
  <c r="I32" i="1"/>
  <c r="E5" i="2"/>
  <c r="G32" i="1"/>
  <c r="D5" i="2"/>
  <c r="F32" i="1"/>
  <c r="E16" i="9"/>
  <c r="E10" i="2"/>
  <c r="I10"/>
  <c r="F10"/>
  <c r="G10"/>
  <c r="J10"/>
  <c r="H10"/>
  <c r="D10"/>
  <c r="C6" l="1"/>
  <c r="C10" l="1"/>
  <c r="C13" l="1"/>
  <c r="C11" l="1"/>
  <c r="E229" i="1"/>
  <c r="J6" i="2"/>
  <c r="L65" i="1"/>
  <c r="I6" i="2"/>
  <c r="K65" i="1"/>
  <c r="H6" i="2"/>
  <c r="J65" i="1"/>
  <c r="G6" i="2"/>
  <c r="I65" i="1"/>
  <c r="F6" i="2"/>
  <c r="H65" i="1"/>
  <c r="E6" i="2"/>
  <c r="G65" i="1"/>
  <c r="D6" i="2"/>
  <c r="F65" i="1"/>
  <c r="G227"/>
  <c r="L227"/>
  <c r="I227"/>
  <c r="K227"/>
  <c r="J227"/>
  <c r="F227"/>
  <c r="D11" i="2" l="1"/>
  <c r="F229" i="1"/>
  <c r="F11" i="2"/>
  <c r="H229" i="1"/>
  <c r="J11" i="2"/>
  <c r="L229" i="1"/>
  <c r="I11" i="2"/>
  <c r="K229" i="1"/>
  <c r="G11" i="2"/>
  <c r="I229" i="1"/>
  <c r="H11" i="2"/>
  <c r="J229" i="1"/>
  <c r="E11" i="2"/>
  <c r="G229" i="1"/>
  <c r="C12" i="2"/>
  <c r="E100" i="1"/>
  <c r="C7" i="2" l="1"/>
  <c r="F12" l="1"/>
  <c r="J12"/>
  <c r="E12"/>
  <c r="D12"/>
  <c r="G12"/>
  <c r="I12"/>
  <c r="H12"/>
  <c r="I15" l="1"/>
  <c r="G15"/>
  <c r="D15"/>
  <c r="N6" s="1"/>
  <c r="N7" s="1"/>
  <c r="E15"/>
  <c r="O6" s="1"/>
  <c r="O7" s="1"/>
  <c r="J15"/>
  <c r="H15"/>
  <c r="C15" l="1"/>
  <c r="M6" l="1"/>
  <c r="M7" s="1"/>
  <c r="H32" i="1"/>
  <c r="F5" i="2"/>
  <c r="F15" s="1"/>
  <c r="P6" s="1"/>
  <c r="P7" s="1"/>
</calcChain>
</file>

<file path=xl/sharedStrings.xml><?xml version="1.0" encoding="utf-8"?>
<sst xmlns="http://schemas.openxmlformats.org/spreadsheetml/2006/main" count="707" uniqueCount="270">
  <si>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</si>
  <si>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</si>
  <si>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</si>
  <si>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</si>
  <si>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</si>
  <si>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Минеральные вещества, (мг)</t>
  </si>
  <si>
    <t>Б</t>
  </si>
  <si>
    <t>Ж</t>
  </si>
  <si>
    <t>У</t>
  </si>
  <si>
    <t>С</t>
  </si>
  <si>
    <t>Ca</t>
  </si>
  <si>
    <t>Mg</t>
  </si>
  <si>
    <t>Fe</t>
  </si>
  <si>
    <t>Завтрак</t>
  </si>
  <si>
    <t>Итого</t>
  </si>
  <si>
    <t>Обед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</si>
  <si>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</si>
  <si>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</si>
  <si>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</si>
  <si>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</si>
  <si>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</si>
  <si>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</si>
  <si>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</si>
  <si>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</si>
  <si>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</si>
  <si>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</si>
  <si>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</si>
  <si>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</si>
  <si>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</si>
  <si>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</si>
  <si>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</si>
  <si>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</si>
  <si>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</si>
  <si>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</si>
  <si>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</si>
  <si>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</si>
  <si>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</si>
  <si>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</si>
  <si>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</si>
  <si>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Среднее значение по группе:</t>
  </si>
  <si>
    <t>Библиография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</si>
  <si>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</si>
  <si>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</si>
  <si>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</si>
  <si>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</si>
  <si>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</si>
  <si>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</si>
  <si>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</si>
  <si>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</si>
  <si>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</si>
  <si>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</si>
  <si>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</si>
  <si>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</si>
  <si>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</si>
  <si>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</si>
  <si>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</si>
  <si>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</si>
  <si>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</si>
  <si>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</si>
  <si>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</si>
  <si>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</si>
  <si>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</si>
  <si>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</si>
  <si>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</si>
  <si>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</si>
  <si>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</si>
  <si>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</si>
  <si>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</si>
  <si>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</si>
  <si>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</si>
  <si>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</si>
  <si>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</si>
  <si>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</si>
  <si>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</si>
  <si>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</si>
  <si>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</si>
  <si>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</si>
  <si>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</si>
  <si>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</si>
  <si>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</si>
  <si>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</si>
  <si>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</si>
  <si>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Витамин С, мг</t>
  </si>
  <si>
    <t>Салат из белокочанной капусты</t>
  </si>
  <si>
    <t>Компот из сушеных фруктов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</si>
  <si>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</si>
  <si>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</si>
  <si>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</si>
  <si>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293[3]</t>
  </si>
  <si>
    <t>Салат из свежих огурцов*</t>
  </si>
  <si>
    <t xml:space="preserve">Чай с сахаром </t>
  </si>
  <si>
    <t xml:space="preserve">3.Сборник технологических карт, рецептур блюд кулинарных изделий для детского питания. – Уфа: ООО Фирма «Партнер» (части 1 и 2), 2015 </t>
  </si>
  <si>
    <t xml:space="preserve">*- Блюда в весенне-летний период </t>
  </si>
  <si>
    <t>Норма</t>
  </si>
  <si>
    <t>Отклонения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</si>
  <si>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</si>
  <si>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</si>
  <si>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</si>
  <si>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Чай с сахаром</t>
  </si>
  <si>
    <t xml:space="preserve">завтрак </t>
  </si>
  <si>
    <t>2 завтрак</t>
  </si>
  <si>
    <t>ужин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</si>
  <si>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2011 .-544 с.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</si>
  <si>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640 с.</t>
  </si>
  <si>
    <t>5.Методические рекомендации по питанию детей в организованных коллективах.Часть 3 Сборник технологических карт,- Екатеринбург: ФБУН ЕМНЦ ПОЗРПП Роспотребнадзора, ФГБОУ ВО УрГЭУ,ФБУЗ ЦГ и Э в Свердловской области 2018.</t>
  </si>
  <si>
    <t xml:space="preserve">6.Организация питания в дошкольных образовательных учреждениях. – М, 2007 </t>
  </si>
  <si>
    <t>7. Справочник «Химический состав российских пищевых продуктов»/ Под ред. И. М. Скурихина, В. А. Тутельяна. – М. : ДеЛи принт, 2002. – 236 с.</t>
  </si>
  <si>
    <t>8.Справочник " Химический состав пищевых продуктов":Том1 / Под ред.И.М.Скурихин, М.Н.Волгарев- М.:Книга, 2016--222с.</t>
  </si>
  <si>
    <t>4.Сборник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</si>
  <si>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217[2]</t>
  </si>
  <si>
    <t>Кулеш с мясом (из смеси круп)</t>
  </si>
  <si>
    <t>140/30</t>
  </si>
  <si>
    <t>132[6]</t>
  </si>
  <si>
    <t>150/5</t>
  </si>
  <si>
    <t>418[2]</t>
  </si>
  <si>
    <t>36/1[5]</t>
  </si>
  <si>
    <t>Салат из отварной свеклы и яблок с растительным маслом</t>
  </si>
  <si>
    <t>86[2]</t>
  </si>
  <si>
    <t>317[2]</t>
  </si>
  <si>
    <t>306[2]</t>
  </si>
  <si>
    <t>Биточки паровые (свинина)</t>
  </si>
  <si>
    <t>334[2]</t>
  </si>
  <si>
    <t>Рис отварной с овощами</t>
  </si>
  <si>
    <t>394[2]</t>
  </si>
  <si>
    <t>405[2]</t>
  </si>
  <si>
    <t>Яблоки, фаршированные морковью</t>
  </si>
  <si>
    <t>273[2]</t>
  </si>
  <si>
    <t>Котлеты рыбные паровые (минтай)</t>
  </si>
  <si>
    <t>12/3[5]</t>
  </si>
  <si>
    <t>Капуста тушеная 2 вариант( без глютена)</t>
  </si>
  <si>
    <t>Компот из свежих плодов</t>
  </si>
  <si>
    <t>112[2]</t>
  </si>
  <si>
    <t>Суп-пюре из птицы</t>
  </si>
  <si>
    <t>12/1[5]</t>
  </si>
  <si>
    <t xml:space="preserve">Салат из белокочанной капусты с яблоками, морковью </t>
  </si>
  <si>
    <t>19/1[5]</t>
  </si>
  <si>
    <t>180\20</t>
  </si>
  <si>
    <t>89/129[2]</t>
  </si>
  <si>
    <t>315[2]</t>
  </si>
  <si>
    <t xml:space="preserve">Голубцы ленивые </t>
  </si>
  <si>
    <t>403[2]</t>
  </si>
  <si>
    <t>Яблоки печеные</t>
  </si>
  <si>
    <t>55[2]</t>
  </si>
  <si>
    <t>Икра морковная</t>
  </si>
  <si>
    <t>308[2]</t>
  </si>
  <si>
    <t>Запеканка картофельная с печенью</t>
  </si>
  <si>
    <t>28/10[5]</t>
  </si>
  <si>
    <t>Напиток из чая с соком</t>
  </si>
  <si>
    <t>Кулеш с мясом (с гречневой крупой)</t>
  </si>
  <si>
    <t>63[2]</t>
  </si>
  <si>
    <t>322[2]</t>
  </si>
  <si>
    <t>Котлеты рубленные из птицы</t>
  </si>
  <si>
    <t>4/3[5]</t>
  </si>
  <si>
    <t>Пюре картофельное (без молока)</t>
  </si>
  <si>
    <t>Пюре из моркови и яблок</t>
  </si>
  <si>
    <t>21[2]</t>
  </si>
  <si>
    <t xml:space="preserve">Салат из белокочанной капусты с морковью </t>
  </si>
  <si>
    <t>239[1]</t>
  </si>
  <si>
    <t>Тефтели рыбные паровые</t>
  </si>
  <si>
    <t>348[2]</t>
  </si>
  <si>
    <t>Пюре из овощей</t>
  </si>
  <si>
    <t>Завтрак (21,7%)</t>
  </si>
  <si>
    <t>Завтрак 2(10%)</t>
  </si>
  <si>
    <t>Обед (41,5%)</t>
  </si>
  <si>
    <t>Полдник (4%)</t>
  </si>
  <si>
    <t>Ужин (22,7%)</t>
  </si>
  <si>
    <t>Завтрак (22,2%)</t>
  </si>
  <si>
    <t>Завтрак  2 (10,9%)</t>
  </si>
  <si>
    <t>Обед ( 39,4%)</t>
  </si>
  <si>
    <t>Полдник (4,7%)</t>
  </si>
  <si>
    <t>Ужин (22,6%)</t>
  </si>
  <si>
    <t>Завтрак (19,2%)</t>
  </si>
  <si>
    <t>2 завтрак (8,9%)</t>
  </si>
  <si>
    <t>Обед ( 33,2%)</t>
  </si>
  <si>
    <t>Полдник (5,9%)</t>
  </si>
  <si>
    <t>Ужин (32,6%)</t>
  </si>
  <si>
    <t>113[2]</t>
  </si>
  <si>
    <t>Суп-пюре из мяса</t>
  </si>
  <si>
    <t>21/1[5]</t>
  </si>
  <si>
    <t>Салат из свежих огурцов и томатов*</t>
  </si>
  <si>
    <t>Салат из отварной свеклы и яблок</t>
  </si>
  <si>
    <t>83[2]</t>
  </si>
  <si>
    <t xml:space="preserve">Суп картофельный </t>
  </si>
  <si>
    <t>135[3]</t>
  </si>
  <si>
    <t>Плов из курицы (2 вариант)</t>
  </si>
  <si>
    <t>29/1[5]</t>
  </si>
  <si>
    <t>Салат из припущеной моркови с растительным маслом</t>
  </si>
  <si>
    <t>129[2]</t>
  </si>
  <si>
    <t>Фрикадельки мясные</t>
  </si>
  <si>
    <t>Пюре картофельное ( без молока)</t>
  </si>
  <si>
    <t>Завтрак (23,8%)</t>
  </si>
  <si>
    <t>2 завтрак (10%)</t>
  </si>
  <si>
    <t>Обед (37,5%)</t>
  </si>
  <si>
    <t xml:space="preserve">  Полдник (4,4%)</t>
  </si>
  <si>
    <t>Ужин (24,2%)</t>
  </si>
  <si>
    <t>Салат из припущенной моркови с растительным маслом</t>
  </si>
  <si>
    <t>73[4]</t>
  </si>
  <si>
    <t>Щи из свежей капусты с картофелем</t>
  </si>
  <si>
    <t>Борщ с картофелем</t>
  </si>
  <si>
    <t>275[1]</t>
  </si>
  <si>
    <t>Зразы из говядины, фаршированные рисом(паровые)</t>
  </si>
  <si>
    <t>Пюре картофельное(без молока)</t>
  </si>
  <si>
    <t>Яблоки, фарщированные морковью</t>
  </si>
  <si>
    <t>Капуста тушеная 2 вариант (без глютена)</t>
  </si>
  <si>
    <t xml:space="preserve">Компот из свежих плодов </t>
  </si>
  <si>
    <t>Завтрак(22,6%)</t>
  </si>
  <si>
    <t>Завтрак 2(10,4%)</t>
  </si>
  <si>
    <t>Обед(39,0%)</t>
  </si>
  <si>
    <t xml:space="preserve">  Полдник(4,2%)</t>
  </si>
  <si>
    <t>Ужин (24,0%)</t>
  </si>
  <si>
    <t>Кулеш с мясом ( с гречневой крупой)</t>
  </si>
  <si>
    <t>98[4]</t>
  </si>
  <si>
    <t>Суп крестьянский с крупой(рис)</t>
  </si>
  <si>
    <t>Биточки мясные (паровые)</t>
  </si>
  <si>
    <t>340[2]</t>
  </si>
  <si>
    <t>Пюре картофельное с морковью</t>
  </si>
  <si>
    <t>237[1]</t>
  </si>
  <si>
    <t>Зразы рыбные с рисом и луком</t>
  </si>
  <si>
    <t>143[1]</t>
  </si>
  <si>
    <t xml:space="preserve">Рагу из овощей </t>
  </si>
  <si>
    <t>Завтрак(21,7%)</t>
  </si>
  <si>
    <t>2 завтрак(10,0%)</t>
  </si>
  <si>
    <t>Обед(39,4%)</t>
  </si>
  <si>
    <t>Полдник(6,7%)</t>
  </si>
  <si>
    <t>Ужин(22,0%)</t>
  </si>
  <si>
    <t>Суп картофельный с крупой "Геркулес"</t>
  </si>
  <si>
    <t>Фрикадельки мясные из свинины</t>
  </si>
  <si>
    <t>199[2]</t>
  </si>
  <si>
    <t>Каша жидкая (гречневая )</t>
  </si>
  <si>
    <t>30/1[5]</t>
  </si>
  <si>
    <t>Салат из припущенной моркови и яблок</t>
  </si>
  <si>
    <t>Запеканка картофельная с мясом</t>
  </si>
  <si>
    <t>Завтрак(24,0%)</t>
  </si>
  <si>
    <t>Полдник(4,5%)</t>
  </si>
  <si>
    <t>Ужин(21,8%)</t>
  </si>
  <si>
    <t>Каша жидкая (рисовая)</t>
  </si>
  <si>
    <t>325[2]</t>
  </si>
  <si>
    <t>Фрикадельки из птицы</t>
  </si>
  <si>
    <t>20/1[5]</t>
  </si>
  <si>
    <t>Салат из свежих томатов с маслом*</t>
  </si>
  <si>
    <t>Завтрак (22,0%)</t>
  </si>
  <si>
    <t>2 завтрак (10,0%)</t>
  </si>
  <si>
    <t>Обед (38,0%)</t>
  </si>
  <si>
    <t>Полдник (4,0%)</t>
  </si>
  <si>
    <t>Ужин (25,6%)</t>
  </si>
  <si>
    <t>Суп картофельный с крупой (рис)</t>
  </si>
  <si>
    <t>23/8[5]</t>
  </si>
  <si>
    <t>Биточки из мяса говядины с картофелем</t>
  </si>
  <si>
    <t>Завтрак (18,7%)</t>
  </si>
  <si>
    <t>2 завтрак (9,0%)</t>
  </si>
  <si>
    <t>Обед (36,0%)</t>
  </si>
  <si>
    <t>Полдник (6,2%)</t>
  </si>
  <si>
    <t>Ужин (30,0%)</t>
  </si>
  <si>
    <t>Горошница</t>
  </si>
  <si>
    <t>Завтрак (21,8%)</t>
  </si>
  <si>
    <t>Обед( 39,6%)</t>
  </si>
  <si>
    <t xml:space="preserve">  Полдник (4,3%)</t>
  </si>
  <si>
    <t xml:space="preserve">                                                                                                                                                        Приложение к основному десятидневному меню</t>
  </si>
  <si>
    <t>Салат из свежих  томатов с маслом*</t>
  </si>
  <si>
    <t>Биточки рубленные из птицы</t>
  </si>
  <si>
    <t>Плоды свежие (груша)</t>
  </si>
  <si>
    <t>Плоды свежие ( яблоко)</t>
  </si>
  <si>
    <t>386[2]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</si>
  <si>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</si>
  <si>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Плоды свежие (яблоко)</t>
  </si>
  <si>
    <t>9.Сборник рецептур блюд и кулинарных изделий для организации питания воспитанников дошкольных организаций (от 1 до 7 лет). Сборник подготовлен: ФБУН «Новосибирский НИИ гигиены» Роспотребнадзора (И.И. Новикова, С.П. Романенко, М.А. Лобкис, П.А. Вейних, Г.П. Ивлева, А.В. Сорокина, М.В. Семенихина), Новосибирск – 2021.</t>
  </si>
  <si>
    <t>ё</t>
  </si>
  <si>
    <t>54-21г[9]</t>
  </si>
  <si>
    <t>54\14г[9]</t>
  </si>
  <si>
    <t>*Перед написанием  меню необходимо  ознакомиться с " МР2.4.0162-19.Гигиена детей и подростков. Особенности отганизации питания детей, страдающих сахарным диабетом и иными заболеваниями, сопровождающимися ограничениями в питании в образовательных и оздоровительных организациях. Методические рекомендации"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</si>
</sst>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2" fontId="6" fillId="0" borderId="0" xfId="0" applyNumberFormat="1" applyFont="1"/>
    <xf numFmtId="2" fontId="3" fillId="0" borderId="9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5" fillId="0" borderId="14" xfId="0" applyNumberFormat="1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vertical="top" wrapText="1"/>
    </xf>
    <xf numFmtId="1" fontId="5" fillId="0" borderId="14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2" fontId="10" fillId="0" borderId="14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10" fontId="6" fillId="0" borderId="0" xfId="0" applyNumberFormat="1" applyFont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" fontId="6" fillId="0" borderId="0" xfId="0" applyNumberFormat="1" applyFont="1"/>
    <xf numFmtId="0" fontId="6" fillId="0" borderId="14" xfId="0" applyFont="1" applyBorder="1"/>
    <xf numFmtId="2" fontId="13" fillId="2" borderId="0" xfId="0" applyNumberFormat="1" applyFont="1" applyFill="1"/>
    <xf numFmtId="2" fontId="3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2" fontId="12" fillId="2" borderId="23" xfId="0" applyNumberFormat="1" applyFont="1" applyFill="1" applyBorder="1" applyAlignment="1">
      <alignment horizontal="center" vertical="center" wrapText="1"/>
    </xf>
    <xf numFmtId="1" fontId="12" fillId="2" borderId="2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2" borderId="21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2" fontId="5" fillId="0" borderId="14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0"/>
  <sheetViews>
    <sheetView topLeftCell="B4" zoomScale="89" zoomScaleNormal="89" zoomScaleSheetLayoutView="70" workbookViewId="0">
      <selection activeCell="C17" sqref="C17"/>
    </sheetView>
  </sheetViews>
  <sheetFormatPr defaultColWidth="9.140625" defaultRowHeight="15.75"/>
  <cols>
    <col min="1" max="1" width="0" style="35" hidden="1" customWidth="1"/>
    <col min="2" max="2" width="14.7109375" style="35" customWidth="1"/>
    <col min="3" max="3" width="80.42578125" style="35" customWidth="1"/>
    <col min="4" max="4" width="15.7109375" style="54" customWidth="1"/>
    <col min="5" max="5" width="11.28515625" style="35" customWidth="1"/>
    <col min="6" max="6" width="8.85546875" style="35" customWidth="1"/>
    <col min="7" max="7" width="11.85546875" style="35" customWidth="1"/>
    <col min="8" max="8" width="35.42578125" style="35" customWidth="1"/>
    <col min="9" max="9" width="14.42578125" style="35" customWidth="1"/>
    <col min="10" max="10" width="10.28515625" style="35" customWidth="1"/>
    <col min="11" max="11" width="10.7109375" style="35" customWidth="1"/>
    <col min="12" max="12" width="7.85546875" style="35" customWidth="1"/>
    <col min="13" max="16384" width="9.140625" style="35"/>
  </cols>
  <sheetData>
    <row r="1" spans="1:12" s="30" customFormat="1">
      <c r="B1" s="31" t="s">
        <v>63</v>
      </c>
      <c r="C1" s="32" t="s">
        <v>257</v>
      </c>
      <c r="D1" s="33"/>
      <c r="E1" s="34"/>
      <c r="F1" s="34"/>
      <c r="G1" s="34"/>
      <c r="H1" s="34"/>
      <c r="I1" s="34"/>
      <c r="J1" s="34"/>
      <c r="K1" s="34"/>
      <c r="L1" s="34"/>
    </row>
    <row r="2" spans="1:12" s="30" customFormat="1">
      <c r="B2" s="31" t="s">
        <v>64</v>
      </c>
      <c r="C2" s="32"/>
      <c r="D2" s="33"/>
      <c r="E2" s="34"/>
      <c r="F2" s="34"/>
      <c r="G2" s="34"/>
      <c r="H2" s="34"/>
      <c r="I2" s="34"/>
      <c r="J2" s="34"/>
      <c r="K2" s="34"/>
      <c r="L2" s="34"/>
    </row>
    <row r="3" spans="1:12" s="30" customFormat="1">
      <c r="B3" s="31" t="s">
        <v>95</v>
      </c>
      <c r="C3" s="32"/>
      <c r="D3" s="33"/>
      <c r="E3" s="34"/>
      <c r="F3" s="34"/>
      <c r="G3" s="34"/>
      <c r="H3" s="34"/>
      <c r="I3" s="34"/>
      <c r="J3" s="34"/>
      <c r="K3" s="34"/>
      <c r="L3" s="34"/>
    </row>
    <row r="4" spans="1:12" ht="46.5" customHeight="1">
      <c r="B4" s="138" t="s">
        <v>0</v>
      </c>
      <c r="C4" s="138" t="s">
        <v>1</v>
      </c>
      <c r="D4" s="145" t="s">
        <v>2</v>
      </c>
      <c r="E4" s="138" t="s">
        <v>3</v>
      </c>
      <c r="F4" s="138"/>
      <c r="G4" s="138"/>
      <c r="H4" s="138" t="s">
        <v>4</v>
      </c>
      <c r="I4" s="100" t="s">
        <v>82</v>
      </c>
      <c r="J4" s="138" t="s">
        <v>5</v>
      </c>
      <c r="K4" s="138"/>
      <c r="L4" s="138"/>
    </row>
    <row r="5" spans="1:12" ht="27.75" customHeight="1">
      <c r="B5" s="138"/>
      <c r="C5" s="138"/>
      <c r="D5" s="145"/>
      <c r="E5" s="36" t="s">
        <v>6</v>
      </c>
      <c r="F5" s="36" t="s">
        <v>7</v>
      </c>
      <c r="G5" s="36" t="s">
        <v>8</v>
      </c>
      <c r="H5" s="138"/>
      <c r="I5" s="36" t="s">
        <v>9</v>
      </c>
      <c r="J5" s="36" t="s">
        <v>10</v>
      </c>
      <c r="K5" s="36" t="s">
        <v>11</v>
      </c>
      <c r="L5" s="36" t="s">
        <v>12</v>
      </c>
    </row>
    <row r="6" spans="1:12">
      <c r="B6" s="138" t="s">
        <v>161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ht="31.15" customHeight="1">
      <c r="A7" s="35">
        <v>1</v>
      </c>
      <c r="B7" s="103" t="s">
        <v>109</v>
      </c>
      <c r="C7" s="22" t="s">
        <v>110</v>
      </c>
      <c r="D7" s="129" t="s">
        <v>111</v>
      </c>
      <c r="E7" s="38">
        <v>5.16</v>
      </c>
      <c r="F7" s="38">
        <v>8.4700000000000006</v>
      </c>
      <c r="G7" s="38">
        <v>9.86</v>
      </c>
      <c r="H7" s="38">
        <v>136.30000000000001</v>
      </c>
      <c r="I7" s="38">
        <v>0.17</v>
      </c>
      <c r="J7" s="38">
        <v>12</v>
      </c>
      <c r="K7" s="38">
        <v>25.76</v>
      </c>
      <c r="L7" s="38">
        <v>1</v>
      </c>
    </row>
    <row r="8" spans="1:12" ht="20.100000000000001" customHeight="1">
      <c r="A8" s="35">
        <v>1</v>
      </c>
      <c r="B8" s="103" t="s">
        <v>112</v>
      </c>
      <c r="C8" s="22" t="s">
        <v>98</v>
      </c>
      <c r="D8" s="69" t="s">
        <v>113</v>
      </c>
      <c r="E8" s="38">
        <v>0.01</v>
      </c>
      <c r="F8" s="38">
        <v>0.01</v>
      </c>
      <c r="G8" s="38">
        <v>4.99</v>
      </c>
      <c r="H8" s="38">
        <v>19.95</v>
      </c>
      <c r="I8" s="38">
        <v>0.02</v>
      </c>
      <c r="J8" s="38">
        <v>7.94</v>
      </c>
      <c r="K8" s="38">
        <v>0.9</v>
      </c>
      <c r="L8" s="38">
        <v>0.18</v>
      </c>
    </row>
    <row r="9" spans="1:12" ht="20.100000000000001" customHeight="1">
      <c r="A9" s="35">
        <v>1</v>
      </c>
      <c r="B9" s="60"/>
      <c r="C9" s="60" t="s">
        <v>14</v>
      </c>
      <c r="D9" s="61">
        <v>325</v>
      </c>
      <c r="E9" s="60">
        <f t="shared" ref="E9:L9" si="0">SUM(E7:E8)</f>
        <v>5.17</v>
      </c>
      <c r="F9" s="104">
        <f t="shared" si="0"/>
        <v>8.48</v>
      </c>
      <c r="G9" s="104">
        <f t="shared" si="0"/>
        <v>14.85</v>
      </c>
      <c r="H9" s="104">
        <f t="shared" si="0"/>
        <v>156.25</v>
      </c>
      <c r="I9" s="104">
        <f t="shared" si="0"/>
        <v>0.19</v>
      </c>
      <c r="J9" s="104">
        <f t="shared" si="0"/>
        <v>19.940000000000001</v>
      </c>
      <c r="K9" s="104">
        <f t="shared" si="0"/>
        <v>26.66</v>
      </c>
      <c r="L9" s="104">
        <f t="shared" si="0"/>
        <v>1.18</v>
      </c>
    </row>
    <row r="10" spans="1:12" ht="20.100000000000001" customHeight="1">
      <c r="B10" s="138" t="s">
        <v>162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1:12" ht="20.100000000000001" customHeight="1">
      <c r="B11" s="60" t="s">
        <v>114</v>
      </c>
      <c r="C11" s="64" t="s">
        <v>85</v>
      </c>
      <c r="D11" s="61">
        <v>150</v>
      </c>
      <c r="E11" s="38">
        <v>0.75</v>
      </c>
      <c r="F11" s="38">
        <v>0</v>
      </c>
      <c r="G11" s="38">
        <v>15.15</v>
      </c>
      <c r="H11" s="38">
        <v>64</v>
      </c>
      <c r="I11" s="38">
        <v>3</v>
      </c>
      <c r="J11" s="38">
        <v>10.5</v>
      </c>
      <c r="K11" s="38">
        <v>6</v>
      </c>
      <c r="L11" s="38">
        <v>2.1</v>
      </c>
    </row>
    <row r="12" spans="1:12" ht="20.100000000000001" customHeight="1">
      <c r="B12" s="36"/>
      <c r="C12" s="60" t="s">
        <v>14</v>
      </c>
      <c r="D12" s="37">
        <f>D11</f>
        <v>150</v>
      </c>
      <c r="E12" s="36">
        <f>E11</f>
        <v>0.75</v>
      </c>
      <c r="F12" s="102">
        <f t="shared" ref="F12:L12" si="1">F11</f>
        <v>0</v>
      </c>
      <c r="G12" s="102">
        <f t="shared" si="1"/>
        <v>15.15</v>
      </c>
      <c r="H12" s="102">
        <f t="shared" si="1"/>
        <v>64</v>
      </c>
      <c r="I12" s="102">
        <f t="shared" si="1"/>
        <v>3</v>
      </c>
      <c r="J12" s="102">
        <f t="shared" si="1"/>
        <v>10.5</v>
      </c>
      <c r="K12" s="102">
        <f t="shared" si="1"/>
        <v>6</v>
      </c>
      <c r="L12" s="102">
        <f t="shared" si="1"/>
        <v>2.1</v>
      </c>
    </row>
    <row r="13" spans="1:12" ht="15.95" customHeight="1">
      <c r="A13" s="35">
        <v>1</v>
      </c>
      <c r="B13" s="138" t="s">
        <v>163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</row>
    <row r="14" spans="1:12" ht="20.100000000000001" customHeight="1">
      <c r="B14" s="103" t="s">
        <v>115</v>
      </c>
      <c r="C14" s="22" t="s">
        <v>116</v>
      </c>
      <c r="D14" s="37">
        <v>50</v>
      </c>
      <c r="E14" s="39">
        <v>0.6</v>
      </c>
      <c r="F14" s="39">
        <v>3</v>
      </c>
      <c r="G14" s="39">
        <v>5</v>
      </c>
      <c r="H14" s="39">
        <v>51</v>
      </c>
      <c r="I14" s="39">
        <v>1.7</v>
      </c>
      <c r="J14" s="39">
        <v>14.6</v>
      </c>
      <c r="K14" s="39">
        <v>8.1</v>
      </c>
      <c r="L14" s="39">
        <v>0.7</v>
      </c>
    </row>
    <row r="15" spans="1:12" s="65" customFormat="1" ht="20.100000000000001" customHeight="1">
      <c r="B15" s="103" t="s">
        <v>117</v>
      </c>
      <c r="C15" s="64" t="s">
        <v>86</v>
      </c>
      <c r="D15" s="98">
        <v>200</v>
      </c>
      <c r="E15" s="68">
        <v>1.74</v>
      </c>
      <c r="F15" s="68">
        <v>2.27</v>
      </c>
      <c r="G15" s="68">
        <v>11.43</v>
      </c>
      <c r="H15" s="68">
        <v>73.2</v>
      </c>
      <c r="I15" s="68">
        <v>6.6</v>
      </c>
      <c r="J15" s="68">
        <v>20.9</v>
      </c>
      <c r="K15" s="68">
        <v>22.8</v>
      </c>
      <c r="L15" s="68">
        <v>1.04</v>
      </c>
    </row>
    <row r="16" spans="1:12" s="65" customFormat="1" ht="20.100000000000001" customHeight="1">
      <c r="B16" s="97" t="s">
        <v>118</v>
      </c>
      <c r="C16" s="64" t="s">
        <v>87</v>
      </c>
      <c r="D16" s="98">
        <v>12</v>
      </c>
      <c r="E16" s="68">
        <v>2.5299999999999998</v>
      </c>
      <c r="F16" s="68">
        <v>1.23</v>
      </c>
      <c r="G16" s="68">
        <v>0</v>
      </c>
      <c r="H16" s="68">
        <v>24.8</v>
      </c>
      <c r="I16" s="68">
        <v>0</v>
      </c>
      <c r="J16" s="68">
        <v>4.68</v>
      </c>
      <c r="K16" s="68">
        <v>2.4</v>
      </c>
      <c r="L16" s="68">
        <v>0.22</v>
      </c>
    </row>
    <row r="17" spans="1:12" ht="20.100000000000001" customHeight="1">
      <c r="B17" s="55" t="s">
        <v>119</v>
      </c>
      <c r="C17" s="22" t="s">
        <v>120</v>
      </c>
      <c r="D17" s="61">
        <v>60</v>
      </c>
      <c r="E17" s="39">
        <v>6.45</v>
      </c>
      <c r="F17" s="39">
        <v>16.899999999999999</v>
      </c>
      <c r="G17" s="39">
        <v>0.92</v>
      </c>
      <c r="H17" s="39">
        <v>182.1</v>
      </c>
      <c r="I17" s="39">
        <v>1.1000000000000001</v>
      </c>
      <c r="J17" s="39">
        <v>6.6</v>
      </c>
      <c r="K17" s="39">
        <v>12.1</v>
      </c>
      <c r="L17" s="39">
        <v>0.84</v>
      </c>
    </row>
    <row r="18" spans="1:12" ht="18" customHeight="1">
      <c r="B18" s="103" t="s">
        <v>121</v>
      </c>
      <c r="C18" s="108" t="s">
        <v>122</v>
      </c>
      <c r="D18" s="58">
        <v>120</v>
      </c>
      <c r="E18" s="68">
        <v>2.09</v>
      </c>
      <c r="F18" s="68">
        <v>4.3</v>
      </c>
      <c r="G18" s="68">
        <v>16.7</v>
      </c>
      <c r="H18" s="68">
        <v>112</v>
      </c>
      <c r="I18" s="68">
        <v>0.4</v>
      </c>
      <c r="J18" s="68">
        <v>14.8</v>
      </c>
      <c r="K18" s="68">
        <v>33.1</v>
      </c>
      <c r="L18" s="68">
        <v>0.6</v>
      </c>
    </row>
    <row r="19" spans="1:12" ht="19.5" customHeight="1">
      <c r="B19" s="47" t="s">
        <v>123</v>
      </c>
      <c r="C19" s="48" t="s">
        <v>84</v>
      </c>
      <c r="D19" s="49">
        <v>180</v>
      </c>
      <c r="E19" s="68">
        <v>0.4</v>
      </c>
      <c r="F19" s="68">
        <v>0.02</v>
      </c>
      <c r="G19" s="68">
        <v>19</v>
      </c>
      <c r="H19" s="68">
        <v>77.7</v>
      </c>
      <c r="I19" s="68">
        <v>0.36</v>
      </c>
      <c r="J19" s="68">
        <v>28.54</v>
      </c>
      <c r="K19" s="68">
        <v>5.4</v>
      </c>
      <c r="L19" s="68">
        <v>1.1100000000000001</v>
      </c>
    </row>
    <row r="20" spans="1:12" ht="20.100000000000001" customHeight="1">
      <c r="A20" s="35">
        <v>1</v>
      </c>
      <c r="B20" s="36"/>
      <c r="C20" s="36" t="s">
        <v>14</v>
      </c>
      <c r="D20" s="37">
        <f t="shared" ref="D20:L20" si="2">SUM(D14:D19)</f>
        <v>622</v>
      </c>
      <c r="E20" s="36">
        <f t="shared" si="2"/>
        <v>13.81</v>
      </c>
      <c r="F20" s="104">
        <f t="shared" si="2"/>
        <v>27.72</v>
      </c>
      <c r="G20" s="104">
        <f t="shared" si="2"/>
        <v>53.05</v>
      </c>
      <c r="H20" s="104">
        <f t="shared" si="2"/>
        <v>520.80000000000007</v>
      </c>
      <c r="I20" s="104">
        <f t="shared" si="2"/>
        <v>10.159999999999998</v>
      </c>
      <c r="J20" s="104">
        <f t="shared" si="2"/>
        <v>90.12</v>
      </c>
      <c r="K20" s="104">
        <f t="shared" si="2"/>
        <v>83.9</v>
      </c>
      <c r="L20" s="104">
        <f t="shared" si="2"/>
        <v>4.51</v>
      </c>
    </row>
    <row r="21" spans="1:12" ht="20.100000000000001" customHeight="1">
      <c r="A21" s="35">
        <v>1</v>
      </c>
      <c r="B21" s="138" t="s">
        <v>164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</row>
    <row r="22" spans="1:12" s="65" customFormat="1" ht="20.100000000000001" customHeight="1">
      <c r="B22" s="103" t="s">
        <v>124</v>
      </c>
      <c r="C22" s="64" t="s">
        <v>125</v>
      </c>
      <c r="D22" s="69">
        <v>60</v>
      </c>
      <c r="E22" s="68">
        <v>0.41</v>
      </c>
      <c r="F22" s="68">
        <v>0.3</v>
      </c>
      <c r="G22" s="68">
        <v>10.5</v>
      </c>
      <c r="H22" s="68">
        <v>46.7</v>
      </c>
      <c r="I22" s="68">
        <v>2.7</v>
      </c>
      <c r="J22" s="68">
        <v>13.1</v>
      </c>
      <c r="K22" s="68">
        <v>8.9</v>
      </c>
      <c r="L22" s="68">
        <v>1.56</v>
      </c>
    </row>
    <row r="23" spans="1:12" s="65" customFormat="1" ht="20.100000000000001" customHeight="1">
      <c r="B23" s="83"/>
      <c r="C23" s="112" t="s">
        <v>14</v>
      </c>
      <c r="D23" s="69">
        <v>60</v>
      </c>
      <c r="E23" s="83">
        <f t="shared" ref="E23:L23" si="3">SUM(E22)</f>
        <v>0.41</v>
      </c>
      <c r="F23" s="110">
        <f t="shared" si="3"/>
        <v>0.3</v>
      </c>
      <c r="G23" s="110">
        <f t="shared" si="3"/>
        <v>10.5</v>
      </c>
      <c r="H23" s="110">
        <f t="shared" si="3"/>
        <v>46.7</v>
      </c>
      <c r="I23" s="110">
        <f t="shared" si="3"/>
        <v>2.7</v>
      </c>
      <c r="J23" s="110">
        <f t="shared" si="3"/>
        <v>13.1</v>
      </c>
      <c r="K23" s="110">
        <f t="shared" si="3"/>
        <v>8.9</v>
      </c>
      <c r="L23" s="110">
        <f t="shared" si="3"/>
        <v>1.56</v>
      </c>
    </row>
    <row r="24" spans="1:12" s="65" customFormat="1" ht="20.100000000000001" customHeight="1">
      <c r="B24" s="135" t="s">
        <v>165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7"/>
    </row>
    <row r="25" spans="1:12" s="65" customFormat="1" ht="20.100000000000001" customHeight="1">
      <c r="B25" s="103" t="s">
        <v>126</v>
      </c>
      <c r="C25" s="64" t="s">
        <v>127</v>
      </c>
      <c r="D25" s="69">
        <v>60</v>
      </c>
      <c r="E25" s="68">
        <v>9.58</v>
      </c>
      <c r="F25" s="68">
        <v>3.2</v>
      </c>
      <c r="G25" s="68">
        <v>1.1200000000000001</v>
      </c>
      <c r="H25" s="68">
        <v>71.5</v>
      </c>
      <c r="I25" s="68">
        <v>0.53</v>
      </c>
      <c r="J25" s="68">
        <v>21.3</v>
      </c>
      <c r="K25" s="68">
        <v>16.399999999999999</v>
      </c>
      <c r="L25" s="68">
        <v>0.49</v>
      </c>
    </row>
    <row r="26" spans="1:12" s="65" customFormat="1" ht="20.100000000000001" customHeight="1">
      <c r="B26" s="83" t="s">
        <v>128</v>
      </c>
      <c r="C26" s="64" t="s">
        <v>129</v>
      </c>
      <c r="D26" s="69">
        <v>100</v>
      </c>
      <c r="E26" s="68">
        <v>2.1</v>
      </c>
      <c r="F26" s="68">
        <v>1.9</v>
      </c>
      <c r="G26" s="68">
        <v>8</v>
      </c>
      <c r="H26" s="68">
        <v>62</v>
      </c>
      <c r="I26" s="68">
        <v>20.8</v>
      </c>
      <c r="J26" s="68">
        <v>54.1</v>
      </c>
      <c r="K26" s="68">
        <v>31</v>
      </c>
      <c r="L26" s="68">
        <v>0.7</v>
      </c>
    </row>
    <row r="27" spans="1:12" s="65" customFormat="1" ht="20.100000000000001" customHeight="1">
      <c r="B27" s="83" t="s">
        <v>88</v>
      </c>
      <c r="C27" s="64" t="s">
        <v>130</v>
      </c>
      <c r="D27" s="69">
        <v>180</v>
      </c>
      <c r="E27" s="68">
        <v>0.18</v>
      </c>
      <c r="F27" s="68">
        <v>0.09</v>
      </c>
      <c r="G27" s="68">
        <v>10.98</v>
      </c>
      <c r="H27" s="68">
        <v>44.1</v>
      </c>
      <c r="I27" s="68">
        <v>1.44</v>
      </c>
      <c r="J27" s="68">
        <v>5.29</v>
      </c>
      <c r="K27" s="68">
        <v>2.82</v>
      </c>
      <c r="L27" s="68">
        <v>0.71</v>
      </c>
    </row>
    <row r="28" spans="1:12" s="65" customFormat="1" ht="18" customHeight="1">
      <c r="B28" s="69" t="s">
        <v>262</v>
      </c>
      <c r="C28" s="64" t="s">
        <v>264</v>
      </c>
      <c r="D28" s="131">
        <v>120</v>
      </c>
      <c r="E28" s="68">
        <v>0.48</v>
      </c>
      <c r="F28" s="68">
        <v>0.48</v>
      </c>
      <c r="G28" s="68">
        <v>11.76</v>
      </c>
      <c r="H28" s="68">
        <v>56</v>
      </c>
      <c r="I28" s="68">
        <v>12</v>
      </c>
      <c r="J28" s="68">
        <v>19.2</v>
      </c>
      <c r="K28" s="68">
        <v>10.8</v>
      </c>
      <c r="L28" s="68">
        <v>2.64</v>
      </c>
    </row>
    <row r="29" spans="1:12" s="65" customFormat="1" ht="20.100000000000001" customHeight="1">
      <c r="A29" s="65">
        <v>1</v>
      </c>
      <c r="B29" s="66"/>
      <c r="C29" s="112" t="s">
        <v>14</v>
      </c>
      <c r="D29" s="67">
        <f t="shared" ref="D29:L29" si="4">SUM(D25:D28)</f>
        <v>460</v>
      </c>
      <c r="E29" s="83">
        <f t="shared" si="4"/>
        <v>12.34</v>
      </c>
      <c r="F29" s="102">
        <f t="shared" si="4"/>
        <v>5.67</v>
      </c>
      <c r="G29" s="102">
        <f t="shared" si="4"/>
        <v>31.86</v>
      </c>
      <c r="H29" s="102">
        <f t="shared" si="4"/>
        <v>233.6</v>
      </c>
      <c r="I29" s="102">
        <f t="shared" si="4"/>
        <v>34.770000000000003</v>
      </c>
      <c r="J29" s="102">
        <f t="shared" si="4"/>
        <v>99.890000000000015</v>
      </c>
      <c r="K29" s="102">
        <f t="shared" si="4"/>
        <v>61.019999999999996</v>
      </c>
      <c r="L29" s="102">
        <f t="shared" si="4"/>
        <v>4.54</v>
      </c>
    </row>
    <row r="30" spans="1:12" ht="20.100000000000001" customHeight="1">
      <c r="A30" s="35">
        <v>1</v>
      </c>
      <c r="B30" s="118"/>
      <c r="C30" s="118" t="s">
        <v>16</v>
      </c>
      <c r="D30" s="120">
        <f>D9+D12+D20+D23+D29</f>
        <v>1617</v>
      </c>
      <c r="E30" s="118">
        <f t="shared" ref="E30:L30" si="5">+E9+E12+E20+E23+E29</f>
        <v>32.480000000000004</v>
      </c>
      <c r="F30" s="118">
        <f t="shared" si="5"/>
        <v>42.17</v>
      </c>
      <c r="G30" s="118">
        <f t="shared" si="5"/>
        <v>125.41</v>
      </c>
      <c r="H30" s="118">
        <f>+H9+H12+H20+H23+H29</f>
        <v>1021.3500000000001</v>
      </c>
      <c r="I30" s="118">
        <f t="shared" si="5"/>
        <v>50.82</v>
      </c>
      <c r="J30" s="118">
        <f t="shared" si="5"/>
        <v>233.55</v>
      </c>
      <c r="K30" s="118">
        <f t="shared" si="5"/>
        <v>186.48000000000002</v>
      </c>
      <c r="L30" s="118">
        <f t="shared" si="5"/>
        <v>13.89</v>
      </c>
    </row>
    <row r="31" spans="1:12" s="65" customFormat="1" ht="20.100000000000001" customHeight="1">
      <c r="B31" s="121"/>
      <c r="C31" s="121" t="s">
        <v>93</v>
      </c>
      <c r="D31" s="122"/>
      <c r="E31" s="121">
        <v>42</v>
      </c>
      <c r="F31" s="121">
        <v>47</v>
      </c>
      <c r="G31" s="121">
        <v>203</v>
      </c>
      <c r="H31" s="121">
        <v>1400</v>
      </c>
      <c r="I31" s="121">
        <v>45</v>
      </c>
      <c r="J31" s="121">
        <v>800</v>
      </c>
      <c r="K31" s="121">
        <v>80</v>
      </c>
      <c r="L31" s="121">
        <v>10</v>
      </c>
    </row>
    <row r="32" spans="1:12" s="65" customFormat="1" ht="20.100000000000001" customHeight="1">
      <c r="B32" s="123"/>
      <c r="C32" s="123" t="s">
        <v>94</v>
      </c>
      <c r="D32" s="124"/>
      <c r="E32" s="123">
        <f>ROUND(E30/E31*100-100,2)</f>
        <v>-22.67</v>
      </c>
      <c r="F32" s="123">
        <f t="shared" ref="F32:L32" si="6">ROUND(F30/F31*100-100,2)</f>
        <v>-10.28</v>
      </c>
      <c r="G32" s="123">
        <f t="shared" si="6"/>
        <v>-38.22</v>
      </c>
      <c r="H32" s="123">
        <f t="shared" si="6"/>
        <v>-27.05</v>
      </c>
      <c r="I32" s="123">
        <f t="shared" si="6"/>
        <v>12.93</v>
      </c>
      <c r="J32" s="123">
        <f t="shared" si="6"/>
        <v>-70.81</v>
      </c>
      <c r="K32" s="123">
        <f t="shared" si="6"/>
        <v>133.1</v>
      </c>
      <c r="L32" s="123">
        <f t="shared" si="6"/>
        <v>38.9</v>
      </c>
    </row>
    <row r="33" spans="1:12" s="30" customFormat="1" ht="15" customHeight="1">
      <c r="B33" s="40"/>
      <c r="C33" s="40"/>
      <c r="D33" s="41"/>
      <c r="E33" s="42"/>
      <c r="F33" s="42"/>
      <c r="G33" s="42"/>
      <c r="H33" s="42"/>
      <c r="I33" s="42"/>
      <c r="J33" s="42"/>
      <c r="K33" s="42"/>
      <c r="L33" s="42"/>
    </row>
    <row r="34" spans="1:12" s="30" customFormat="1" ht="20.100000000000001" customHeight="1">
      <c r="B34" s="31" t="s">
        <v>65</v>
      </c>
      <c r="C34" s="32"/>
      <c r="D34" s="41"/>
      <c r="E34" s="42"/>
      <c r="F34" s="42"/>
      <c r="G34" s="42"/>
      <c r="H34" s="42"/>
      <c r="I34" s="42"/>
      <c r="J34" s="42"/>
      <c r="K34" s="42"/>
      <c r="L34" s="42"/>
    </row>
    <row r="35" spans="1:12" s="30" customFormat="1" ht="20.100000000000001" customHeight="1">
      <c r="B35" s="31" t="s">
        <v>64</v>
      </c>
      <c r="C35" s="32"/>
      <c r="D35" s="41"/>
      <c r="E35" s="42"/>
      <c r="F35" s="42"/>
      <c r="G35" s="42"/>
      <c r="H35" s="42"/>
      <c r="I35" s="42"/>
      <c r="J35" s="42"/>
      <c r="K35" s="42"/>
      <c r="L35" s="42"/>
    </row>
    <row r="36" spans="1:12" s="30" customFormat="1">
      <c r="B36" s="31" t="s">
        <v>96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</row>
    <row r="37" spans="1:12" s="30" customFormat="1" ht="41.25" customHeight="1">
      <c r="B37" s="139" t="s">
        <v>0</v>
      </c>
      <c r="C37" s="139" t="s">
        <v>1</v>
      </c>
      <c r="D37" s="140" t="s">
        <v>2</v>
      </c>
      <c r="E37" s="138" t="s">
        <v>3</v>
      </c>
      <c r="F37" s="138"/>
      <c r="G37" s="138"/>
      <c r="H37" s="138" t="s">
        <v>4</v>
      </c>
      <c r="I37" s="100"/>
      <c r="J37" s="138" t="s">
        <v>5</v>
      </c>
      <c r="K37" s="138"/>
      <c r="L37" s="138"/>
    </row>
    <row r="38" spans="1:12" s="30" customFormat="1" ht="41.25" customHeight="1">
      <c r="B38" s="139"/>
      <c r="C38" s="139"/>
      <c r="D38" s="140"/>
      <c r="E38" s="36" t="s">
        <v>6</v>
      </c>
      <c r="F38" s="36" t="s">
        <v>7</v>
      </c>
      <c r="G38" s="36" t="s">
        <v>8</v>
      </c>
      <c r="H38" s="138"/>
      <c r="I38" s="36" t="s">
        <v>9</v>
      </c>
      <c r="J38" s="36" t="s">
        <v>10</v>
      </c>
      <c r="K38" s="36" t="s">
        <v>11</v>
      </c>
      <c r="L38" s="36" t="s">
        <v>12</v>
      </c>
    </row>
    <row r="39" spans="1:12" ht="20.100000000000001" customHeight="1">
      <c r="A39" s="35">
        <v>2</v>
      </c>
      <c r="B39" s="138" t="s">
        <v>166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</row>
    <row r="40" spans="1:12" ht="26.45" customHeight="1">
      <c r="A40" s="35">
        <v>2</v>
      </c>
      <c r="B40" s="105" t="s">
        <v>131</v>
      </c>
      <c r="C40" s="50" t="s">
        <v>132</v>
      </c>
      <c r="D40" s="69">
        <v>150</v>
      </c>
      <c r="E40" s="39">
        <v>5.86</v>
      </c>
      <c r="F40" s="39">
        <v>6.82</v>
      </c>
      <c r="G40" s="39">
        <v>7.5</v>
      </c>
      <c r="H40" s="39">
        <v>114.75</v>
      </c>
      <c r="I40" s="39">
        <v>0.42</v>
      </c>
      <c r="J40" s="39">
        <v>63.8</v>
      </c>
      <c r="K40" s="39">
        <v>14.5</v>
      </c>
      <c r="L40" s="39">
        <v>0.4</v>
      </c>
    </row>
    <row r="41" spans="1:12" ht="18" customHeight="1">
      <c r="A41" s="35">
        <v>2</v>
      </c>
      <c r="B41" s="94" t="s">
        <v>112</v>
      </c>
      <c r="C41" s="50" t="s">
        <v>90</v>
      </c>
      <c r="D41" s="69" t="s">
        <v>113</v>
      </c>
      <c r="E41" s="68">
        <v>0.01</v>
      </c>
      <c r="F41" s="68">
        <v>0.01</v>
      </c>
      <c r="G41" s="68">
        <v>4.99</v>
      </c>
      <c r="H41" s="68">
        <v>19.95</v>
      </c>
      <c r="I41" s="68">
        <v>0.02</v>
      </c>
      <c r="J41" s="68">
        <v>7.94</v>
      </c>
      <c r="K41" s="68">
        <v>0.9</v>
      </c>
      <c r="L41" s="68">
        <v>0.18</v>
      </c>
    </row>
    <row r="42" spans="1:12" s="65" customFormat="1" ht="18" customHeight="1">
      <c r="A42" s="65">
        <v>2</v>
      </c>
      <c r="B42" s="104"/>
      <c r="C42" s="104" t="s">
        <v>14</v>
      </c>
      <c r="D42" s="105">
        <v>305</v>
      </c>
      <c r="E42" s="104">
        <f t="shared" ref="E42:L42" si="7">SUM(E40:E41)</f>
        <v>5.87</v>
      </c>
      <c r="F42" s="104">
        <f t="shared" si="7"/>
        <v>6.83</v>
      </c>
      <c r="G42" s="104">
        <f t="shared" si="7"/>
        <v>12.49</v>
      </c>
      <c r="H42" s="104">
        <f t="shared" si="7"/>
        <v>134.69999999999999</v>
      </c>
      <c r="I42" s="104">
        <f t="shared" si="7"/>
        <v>0.44</v>
      </c>
      <c r="J42" s="104">
        <f t="shared" si="7"/>
        <v>71.739999999999995</v>
      </c>
      <c r="K42" s="104">
        <f t="shared" si="7"/>
        <v>15.4</v>
      </c>
      <c r="L42" s="104">
        <f t="shared" si="7"/>
        <v>0.58000000000000007</v>
      </c>
    </row>
    <row r="43" spans="1:12" s="65" customFormat="1" ht="18" customHeight="1">
      <c r="B43" s="135" t="s">
        <v>167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7"/>
    </row>
    <row r="44" spans="1:12" s="65" customFormat="1" ht="18" customHeight="1">
      <c r="B44" s="69" t="s">
        <v>114</v>
      </c>
      <c r="C44" s="64" t="s">
        <v>85</v>
      </c>
      <c r="D44" s="105">
        <v>150</v>
      </c>
      <c r="E44" s="68">
        <v>0.75</v>
      </c>
      <c r="F44" s="68">
        <v>0</v>
      </c>
      <c r="G44" s="68">
        <v>15.15</v>
      </c>
      <c r="H44" s="68">
        <v>64</v>
      </c>
      <c r="I44" s="68">
        <v>3</v>
      </c>
      <c r="J44" s="68">
        <v>10.5</v>
      </c>
      <c r="K44" s="68">
        <v>6</v>
      </c>
      <c r="L44" s="68">
        <v>2.1</v>
      </c>
    </row>
    <row r="45" spans="1:12" ht="18" customHeight="1">
      <c r="A45" s="35">
        <v>2</v>
      </c>
      <c r="B45" s="104"/>
      <c r="C45" s="104" t="s">
        <v>14</v>
      </c>
      <c r="D45" s="105">
        <f>D44</f>
        <v>150</v>
      </c>
      <c r="E45" s="104">
        <f>E44</f>
        <v>0.75</v>
      </c>
      <c r="F45" s="104">
        <f t="shared" ref="F45:L45" si="8">F44</f>
        <v>0</v>
      </c>
      <c r="G45" s="104">
        <f t="shared" si="8"/>
        <v>15.15</v>
      </c>
      <c r="H45" s="104">
        <f t="shared" si="8"/>
        <v>64</v>
      </c>
      <c r="I45" s="104">
        <f t="shared" si="8"/>
        <v>3</v>
      </c>
      <c r="J45" s="104">
        <f t="shared" si="8"/>
        <v>10.5</v>
      </c>
      <c r="K45" s="104">
        <f t="shared" si="8"/>
        <v>6</v>
      </c>
      <c r="L45" s="104">
        <f t="shared" si="8"/>
        <v>2.1</v>
      </c>
    </row>
    <row r="46" spans="1:12" ht="18" customHeight="1">
      <c r="A46" s="35">
        <v>2</v>
      </c>
      <c r="B46" s="135" t="s">
        <v>168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7"/>
    </row>
    <row r="47" spans="1:12" ht="18" customHeight="1">
      <c r="A47" s="35">
        <v>2</v>
      </c>
      <c r="B47" s="104" t="s">
        <v>133</v>
      </c>
      <c r="C47" s="64" t="s">
        <v>134</v>
      </c>
      <c r="D47" s="105">
        <v>40</v>
      </c>
      <c r="E47" s="43">
        <v>0.6</v>
      </c>
      <c r="F47" s="43">
        <v>2.4</v>
      </c>
      <c r="G47" s="43">
        <v>3.1</v>
      </c>
      <c r="H47" s="43">
        <v>37</v>
      </c>
      <c r="I47" s="43">
        <v>13.9</v>
      </c>
      <c r="J47" s="43">
        <v>16.2</v>
      </c>
      <c r="K47" s="43">
        <v>12.8</v>
      </c>
      <c r="L47" s="43">
        <v>0.3</v>
      </c>
    </row>
    <row r="48" spans="1:12" ht="18" customHeight="1">
      <c r="B48" s="104" t="s">
        <v>135</v>
      </c>
      <c r="C48" s="64" t="s">
        <v>89</v>
      </c>
      <c r="D48" s="105">
        <v>40</v>
      </c>
      <c r="E48" s="43">
        <v>0.3</v>
      </c>
      <c r="F48" s="43">
        <v>2.4</v>
      </c>
      <c r="G48" s="43">
        <v>0.9</v>
      </c>
      <c r="H48" s="43">
        <v>27</v>
      </c>
      <c r="I48" s="43">
        <v>3.7</v>
      </c>
      <c r="J48" s="43">
        <v>9.1999999999999993</v>
      </c>
      <c r="K48" s="43">
        <v>5.2</v>
      </c>
      <c r="L48" s="43">
        <v>0.2</v>
      </c>
    </row>
    <row r="49" spans="1:12" ht="18" customHeight="1">
      <c r="B49" s="104"/>
      <c r="C49" s="64" t="s">
        <v>39</v>
      </c>
      <c r="D49" s="105"/>
      <c r="E49" s="109">
        <f>SUM(E47:E48)/2</f>
        <v>0.44999999999999996</v>
      </c>
      <c r="F49" s="109">
        <f t="shared" ref="F49:L49" si="9">SUM(F47:F48)/2</f>
        <v>2.4</v>
      </c>
      <c r="G49" s="109">
        <f t="shared" si="9"/>
        <v>2</v>
      </c>
      <c r="H49" s="109">
        <f t="shared" si="9"/>
        <v>32</v>
      </c>
      <c r="I49" s="109">
        <f t="shared" si="9"/>
        <v>8.8000000000000007</v>
      </c>
      <c r="J49" s="109">
        <f t="shared" si="9"/>
        <v>12.7</v>
      </c>
      <c r="K49" s="109">
        <f t="shared" si="9"/>
        <v>9</v>
      </c>
      <c r="L49" s="109">
        <f t="shared" si="9"/>
        <v>0.25</v>
      </c>
    </row>
    <row r="50" spans="1:12" s="65" customFormat="1" ht="17.45" customHeight="1">
      <c r="B50" s="69" t="s">
        <v>137</v>
      </c>
      <c r="C50" s="64" t="s">
        <v>42</v>
      </c>
      <c r="D50" s="105" t="s">
        <v>136</v>
      </c>
      <c r="E50" s="43">
        <v>6.3</v>
      </c>
      <c r="F50" s="43">
        <v>11.3</v>
      </c>
      <c r="G50" s="43">
        <v>12.05</v>
      </c>
      <c r="H50" s="43">
        <v>175</v>
      </c>
      <c r="I50" s="43">
        <v>8.1999999999999993</v>
      </c>
      <c r="J50" s="43">
        <v>22.95</v>
      </c>
      <c r="K50" s="43">
        <v>29.1</v>
      </c>
      <c r="L50" s="43">
        <v>1.32</v>
      </c>
    </row>
    <row r="51" spans="1:12" s="65" customFormat="1" ht="19.899999999999999" customHeight="1">
      <c r="B51" s="69" t="s">
        <v>138</v>
      </c>
      <c r="C51" s="64" t="s">
        <v>139</v>
      </c>
      <c r="D51" s="105">
        <v>120</v>
      </c>
      <c r="E51" s="43">
        <v>5.6</v>
      </c>
      <c r="F51" s="43">
        <v>9.1</v>
      </c>
      <c r="G51" s="43">
        <v>10.8</v>
      </c>
      <c r="H51" s="43">
        <v>147.5</v>
      </c>
      <c r="I51" s="43">
        <v>12.3</v>
      </c>
      <c r="J51" s="43">
        <v>23.5</v>
      </c>
      <c r="K51" s="43">
        <v>19</v>
      </c>
      <c r="L51" s="43">
        <v>0.78</v>
      </c>
    </row>
    <row r="52" spans="1:12" ht="23.45" customHeight="1">
      <c r="B52" s="97" t="s">
        <v>88</v>
      </c>
      <c r="C52" s="64" t="s">
        <v>204</v>
      </c>
      <c r="D52" s="37">
        <v>180</v>
      </c>
      <c r="E52" s="43">
        <v>0.18</v>
      </c>
      <c r="F52" s="43">
        <v>0.09</v>
      </c>
      <c r="G52" s="43">
        <v>10.98</v>
      </c>
      <c r="H52" s="43">
        <v>44.1</v>
      </c>
      <c r="I52" s="43">
        <v>1.44</v>
      </c>
      <c r="J52" s="43">
        <v>5.29</v>
      </c>
      <c r="K52" s="43">
        <v>2.82</v>
      </c>
      <c r="L52" s="43">
        <v>0.71</v>
      </c>
    </row>
    <row r="53" spans="1:12" ht="18" customHeight="1">
      <c r="A53" s="35">
        <v>2</v>
      </c>
      <c r="B53" s="36"/>
      <c r="C53" s="36" t="s">
        <v>14</v>
      </c>
      <c r="D53" s="37">
        <v>540</v>
      </c>
      <c r="E53" s="36">
        <f t="shared" ref="E53:L53" si="10">SUM(E49:E52)</f>
        <v>12.53</v>
      </c>
      <c r="F53" s="104">
        <f t="shared" si="10"/>
        <v>22.89</v>
      </c>
      <c r="G53" s="104">
        <f t="shared" si="10"/>
        <v>35.83</v>
      </c>
      <c r="H53" s="104">
        <f t="shared" si="10"/>
        <v>398.6</v>
      </c>
      <c r="I53" s="104">
        <f t="shared" si="10"/>
        <v>30.740000000000002</v>
      </c>
      <c r="J53" s="104">
        <f t="shared" si="10"/>
        <v>64.44</v>
      </c>
      <c r="K53" s="104">
        <f t="shared" si="10"/>
        <v>59.92</v>
      </c>
      <c r="L53" s="104">
        <f t="shared" si="10"/>
        <v>3.06</v>
      </c>
    </row>
    <row r="54" spans="1:12" ht="18" customHeight="1">
      <c r="B54" s="138" t="s">
        <v>169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</row>
    <row r="55" spans="1:12" s="65" customFormat="1" ht="18" customHeight="1">
      <c r="B55" s="83" t="s">
        <v>140</v>
      </c>
      <c r="C55" s="64" t="s">
        <v>141</v>
      </c>
      <c r="D55" s="69">
        <v>65</v>
      </c>
      <c r="E55" s="87">
        <v>0.26</v>
      </c>
      <c r="F55" s="87">
        <v>0.26</v>
      </c>
      <c r="G55" s="87">
        <v>20.100000000000001</v>
      </c>
      <c r="H55" s="87">
        <v>84.5</v>
      </c>
      <c r="I55" s="87">
        <v>2.7</v>
      </c>
      <c r="J55" s="87">
        <v>10.6</v>
      </c>
      <c r="K55" s="87">
        <v>5.7</v>
      </c>
      <c r="L55" s="87">
        <v>1.4</v>
      </c>
    </row>
    <row r="56" spans="1:12" s="65" customFormat="1" ht="18" customHeight="1">
      <c r="B56" s="83"/>
      <c r="C56" s="112" t="s">
        <v>14</v>
      </c>
      <c r="D56" s="69">
        <f t="shared" ref="D56:L56" si="11">SUM(D55)</f>
        <v>65</v>
      </c>
      <c r="E56" s="86">
        <f t="shared" si="11"/>
        <v>0.26</v>
      </c>
      <c r="F56" s="86">
        <f t="shared" si="11"/>
        <v>0.26</v>
      </c>
      <c r="G56" s="86">
        <f t="shared" si="11"/>
        <v>20.100000000000001</v>
      </c>
      <c r="H56" s="86">
        <f t="shared" si="11"/>
        <v>84.5</v>
      </c>
      <c r="I56" s="86">
        <f t="shared" si="11"/>
        <v>2.7</v>
      </c>
      <c r="J56" s="86">
        <f t="shared" si="11"/>
        <v>10.6</v>
      </c>
      <c r="K56" s="86">
        <f t="shared" si="11"/>
        <v>5.7</v>
      </c>
      <c r="L56" s="86">
        <f t="shared" si="11"/>
        <v>1.4</v>
      </c>
    </row>
    <row r="57" spans="1:12" s="65" customFormat="1" ht="18" customHeight="1">
      <c r="B57" s="135" t="s">
        <v>170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7"/>
    </row>
    <row r="58" spans="1:12" s="65" customFormat="1" ht="18.75" customHeight="1">
      <c r="B58" s="83" t="s">
        <v>142</v>
      </c>
      <c r="C58" s="93" t="s">
        <v>143</v>
      </c>
      <c r="D58" s="69">
        <v>40</v>
      </c>
      <c r="E58" s="44">
        <v>0.88</v>
      </c>
      <c r="F58" s="44">
        <v>1.84</v>
      </c>
      <c r="G58" s="44">
        <v>4.3499999999999996</v>
      </c>
      <c r="H58" s="44">
        <v>37.479999999999997</v>
      </c>
      <c r="I58" s="44">
        <v>2.0499999999999998</v>
      </c>
      <c r="J58" s="44">
        <v>12.26</v>
      </c>
      <c r="K58" s="44">
        <v>16.510000000000002</v>
      </c>
      <c r="L58" s="44">
        <v>0.49</v>
      </c>
    </row>
    <row r="59" spans="1:12" ht="21.6" customHeight="1">
      <c r="B59" s="91" t="s">
        <v>144</v>
      </c>
      <c r="C59" s="45" t="s">
        <v>145</v>
      </c>
      <c r="D59" s="46">
        <v>120</v>
      </c>
      <c r="E59" s="44">
        <v>4.8</v>
      </c>
      <c r="F59" s="44">
        <v>2.8</v>
      </c>
      <c r="G59" s="44">
        <v>10.8</v>
      </c>
      <c r="H59" s="44">
        <v>87.8</v>
      </c>
      <c r="I59" s="44">
        <v>6.51</v>
      </c>
      <c r="J59" s="44">
        <v>9.82</v>
      </c>
      <c r="K59" s="44">
        <v>19.2</v>
      </c>
      <c r="L59" s="44">
        <v>1.94</v>
      </c>
    </row>
    <row r="60" spans="1:12" s="65" customFormat="1" ht="18" customHeight="1">
      <c r="B60" s="104" t="s">
        <v>146</v>
      </c>
      <c r="C60" s="45" t="s">
        <v>147</v>
      </c>
      <c r="D60" s="46">
        <v>150</v>
      </c>
      <c r="E60" s="44">
        <v>0.4</v>
      </c>
      <c r="F60" s="44">
        <v>0.1</v>
      </c>
      <c r="G60" s="44">
        <v>11.1</v>
      </c>
      <c r="H60" s="44">
        <v>46</v>
      </c>
      <c r="I60" s="44">
        <v>0.6</v>
      </c>
      <c r="J60" s="44">
        <v>5.2</v>
      </c>
      <c r="K60" s="44">
        <v>2.85</v>
      </c>
      <c r="L60" s="44">
        <v>1</v>
      </c>
    </row>
    <row r="61" spans="1:12" s="65" customFormat="1" ht="18" customHeight="1">
      <c r="B61" s="69" t="s">
        <v>262</v>
      </c>
      <c r="C61" s="64" t="s">
        <v>260</v>
      </c>
      <c r="D61" s="131">
        <v>95</v>
      </c>
      <c r="E61" s="68">
        <v>0.38</v>
      </c>
      <c r="F61" s="68">
        <v>0.28000000000000003</v>
      </c>
      <c r="G61" s="68">
        <v>9.8000000000000007</v>
      </c>
      <c r="H61" s="68">
        <v>44</v>
      </c>
      <c r="I61" s="68">
        <v>4.75</v>
      </c>
      <c r="J61" s="68">
        <v>18</v>
      </c>
      <c r="K61" s="68">
        <v>11</v>
      </c>
      <c r="L61" s="68">
        <v>2.2000000000000002</v>
      </c>
    </row>
    <row r="62" spans="1:12" ht="18" customHeight="1">
      <c r="A62" s="35">
        <v>2</v>
      </c>
      <c r="B62" s="39"/>
      <c r="C62" s="36" t="s">
        <v>14</v>
      </c>
      <c r="D62" s="37">
        <f t="shared" ref="D62:L62" si="12">SUM(D58:D61)</f>
        <v>405</v>
      </c>
      <c r="E62" s="36">
        <f t="shared" si="12"/>
        <v>6.46</v>
      </c>
      <c r="F62" s="104">
        <f t="shared" si="12"/>
        <v>5.0199999999999996</v>
      </c>
      <c r="G62" s="104">
        <f t="shared" si="12"/>
        <v>36.049999999999997</v>
      </c>
      <c r="H62" s="104">
        <f t="shared" si="12"/>
        <v>215.28</v>
      </c>
      <c r="I62" s="104">
        <f t="shared" si="12"/>
        <v>13.909999999999998</v>
      </c>
      <c r="J62" s="104">
        <f t="shared" si="12"/>
        <v>45.28</v>
      </c>
      <c r="K62" s="104">
        <f t="shared" si="12"/>
        <v>49.56</v>
      </c>
      <c r="L62" s="104">
        <f t="shared" si="12"/>
        <v>5.63</v>
      </c>
    </row>
    <row r="63" spans="1:12" ht="18" customHeight="1">
      <c r="A63" s="35">
        <v>2</v>
      </c>
      <c r="B63" s="39"/>
      <c r="C63" s="36" t="s">
        <v>17</v>
      </c>
      <c r="D63" s="37">
        <f>D62+D56+D53+D45+D42</f>
        <v>1465</v>
      </c>
      <c r="E63" s="36">
        <f t="shared" ref="E63:L63" si="13">E42+E45+E53+E56+E62</f>
        <v>25.87</v>
      </c>
      <c r="F63" s="83">
        <f t="shared" si="13"/>
        <v>35</v>
      </c>
      <c r="G63" s="83">
        <f t="shared" si="13"/>
        <v>119.61999999999999</v>
      </c>
      <c r="H63" s="83">
        <f>H42+H45+H53+H56+H62</f>
        <v>897.07999999999993</v>
      </c>
      <c r="I63" s="83">
        <f t="shared" si="13"/>
        <v>50.79</v>
      </c>
      <c r="J63" s="83">
        <f t="shared" si="13"/>
        <v>202.56</v>
      </c>
      <c r="K63" s="83">
        <f t="shared" si="13"/>
        <v>136.57999999999998</v>
      </c>
      <c r="L63" s="83">
        <f t="shared" si="13"/>
        <v>12.77</v>
      </c>
    </row>
    <row r="64" spans="1:12" s="65" customFormat="1" ht="20.100000000000001" customHeight="1">
      <c r="B64" s="121"/>
      <c r="C64" s="121" t="s">
        <v>93</v>
      </c>
      <c r="D64" s="122"/>
      <c r="E64" s="121">
        <v>42</v>
      </c>
      <c r="F64" s="121">
        <v>47</v>
      </c>
      <c r="G64" s="121">
        <v>203</v>
      </c>
      <c r="H64" s="121">
        <v>1400</v>
      </c>
      <c r="I64" s="121">
        <v>45</v>
      </c>
      <c r="J64" s="121">
        <v>800</v>
      </c>
      <c r="K64" s="121">
        <v>80</v>
      </c>
      <c r="L64" s="121">
        <v>10</v>
      </c>
    </row>
    <row r="65" spans="1:12" s="65" customFormat="1" ht="20.100000000000001" customHeight="1">
      <c r="B65" s="123"/>
      <c r="C65" s="123" t="s">
        <v>94</v>
      </c>
      <c r="D65" s="124"/>
      <c r="E65" s="123">
        <f>ROUND(E63/E64*100-100,2)</f>
        <v>-38.4</v>
      </c>
      <c r="F65" s="123">
        <f t="shared" ref="F65:L65" si="14">ROUND(F63/F64*100-100,2)</f>
        <v>-25.53</v>
      </c>
      <c r="G65" s="123">
        <f t="shared" si="14"/>
        <v>-41.07</v>
      </c>
      <c r="H65" s="123">
        <f t="shared" si="14"/>
        <v>-35.92</v>
      </c>
      <c r="I65" s="123">
        <f t="shared" si="14"/>
        <v>12.87</v>
      </c>
      <c r="J65" s="123">
        <f t="shared" si="14"/>
        <v>-74.680000000000007</v>
      </c>
      <c r="K65" s="123">
        <f t="shared" si="14"/>
        <v>70.73</v>
      </c>
      <c r="L65" s="123">
        <f t="shared" si="14"/>
        <v>27.7</v>
      </c>
    </row>
    <row r="66" spans="1:12" s="30" customFormat="1" ht="20.100000000000001" customHeight="1">
      <c r="B66" s="31" t="s">
        <v>66</v>
      </c>
      <c r="C66" s="32"/>
      <c r="D66" s="41"/>
      <c r="E66" s="42"/>
      <c r="F66" s="42"/>
      <c r="G66" s="42"/>
      <c r="H66" s="42"/>
      <c r="I66" s="42"/>
      <c r="J66" s="42"/>
      <c r="K66" s="42"/>
      <c r="L66" s="42"/>
    </row>
    <row r="67" spans="1:12" s="30" customFormat="1" ht="20.100000000000001" customHeight="1">
      <c r="B67" s="31" t="s">
        <v>64</v>
      </c>
      <c r="C67" s="32"/>
      <c r="D67" s="41"/>
      <c r="E67" s="42"/>
      <c r="F67" s="42"/>
      <c r="G67" s="42"/>
      <c r="H67" s="42"/>
      <c r="I67" s="42"/>
      <c r="J67" s="42"/>
      <c r="K67" s="42"/>
      <c r="L67" s="42"/>
    </row>
    <row r="68" spans="1:12" s="30" customFormat="1">
      <c r="B68" s="31" t="s">
        <v>97</v>
      </c>
      <c r="C68" s="32"/>
      <c r="D68" s="33"/>
      <c r="E68" s="34"/>
      <c r="F68" s="34"/>
      <c r="G68" s="34"/>
      <c r="H68" s="34"/>
      <c r="I68" s="34"/>
      <c r="J68" s="34"/>
      <c r="K68" s="34"/>
      <c r="L68" s="34"/>
    </row>
    <row r="69" spans="1:12" s="30" customFormat="1" ht="27" customHeight="1">
      <c r="B69" s="139" t="s">
        <v>0</v>
      </c>
      <c r="C69" s="139" t="s">
        <v>1</v>
      </c>
      <c r="D69" s="140" t="s">
        <v>2</v>
      </c>
      <c r="E69" s="138" t="s">
        <v>3</v>
      </c>
      <c r="F69" s="138"/>
      <c r="G69" s="138"/>
      <c r="H69" s="138" t="s">
        <v>4</v>
      </c>
      <c r="I69" s="100"/>
      <c r="J69" s="138" t="s">
        <v>5</v>
      </c>
      <c r="K69" s="138"/>
      <c r="L69" s="138"/>
    </row>
    <row r="70" spans="1:12" s="30" customFormat="1" ht="37.5" customHeight="1">
      <c r="B70" s="139"/>
      <c r="C70" s="139"/>
      <c r="D70" s="140"/>
      <c r="E70" s="36" t="s">
        <v>6</v>
      </c>
      <c r="F70" s="36" t="s">
        <v>7</v>
      </c>
      <c r="G70" s="36" t="s">
        <v>8</v>
      </c>
      <c r="H70" s="138"/>
      <c r="I70" s="36" t="s">
        <v>9</v>
      </c>
      <c r="J70" s="36" t="s">
        <v>10</v>
      </c>
      <c r="K70" s="36" t="s">
        <v>11</v>
      </c>
      <c r="L70" s="36" t="s">
        <v>12</v>
      </c>
    </row>
    <row r="71" spans="1:12" ht="18" customHeight="1">
      <c r="A71" s="35">
        <v>3</v>
      </c>
      <c r="B71" s="138" t="s">
        <v>171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</row>
    <row r="72" spans="1:12" ht="30.6" customHeight="1">
      <c r="A72" s="35">
        <v>3</v>
      </c>
      <c r="B72" s="36"/>
      <c r="C72" s="22"/>
      <c r="D72" s="69"/>
      <c r="E72" s="38"/>
      <c r="F72" s="38"/>
      <c r="G72" s="38"/>
      <c r="H72" s="38"/>
      <c r="I72" s="38"/>
      <c r="J72" s="38"/>
      <c r="K72" s="38"/>
      <c r="L72" s="38"/>
    </row>
    <row r="73" spans="1:12" ht="19.149999999999999" customHeight="1">
      <c r="A73" s="35">
        <v>3</v>
      </c>
      <c r="B73" s="51" t="s">
        <v>109</v>
      </c>
      <c r="C73" s="22" t="s">
        <v>148</v>
      </c>
      <c r="D73" s="129" t="s">
        <v>111</v>
      </c>
      <c r="E73" s="38">
        <v>5.19</v>
      </c>
      <c r="F73" s="38">
        <v>8</v>
      </c>
      <c r="G73" s="38">
        <v>9.58</v>
      </c>
      <c r="H73" s="38">
        <v>131</v>
      </c>
      <c r="I73" s="38">
        <v>0.17</v>
      </c>
      <c r="J73" s="38">
        <v>6.07</v>
      </c>
      <c r="K73" s="38">
        <v>37.200000000000003</v>
      </c>
      <c r="L73" s="38">
        <v>1.33</v>
      </c>
    </row>
    <row r="74" spans="1:12" s="65" customFormat="1" ht="16.149999999999999" customHeight="1">
      <c r="B74" s="51" t="s">
        <v>112</v>
      </c>
      <c r="C74" s="64" t="s">
        <v>90</v>
      </c>
      <c r="D74" s="129" t="s">
        <v>113</v>
      </c>
      <c r="E74" s="38">
        <v>0.01</v>
      </c>
      <c r="F74" s="38">
        <v>0.01</v>
      </c>
      <c r="G74" s="38">
        <v>4.99</v>
      </c>
      <c r="H74" s="38">
        <v>19.95</v>
      </c>
      <c r="I74" s="38">
        <v>0.02</v>
      </c>
      <c r="J74" s="38">
        <v>7.94</v>
      </c>
      <c r="K74" s="38">
        <v>0.9</v>
      </c>
      <c r="L74" s="38">
        <v>0.18</v>
      </c>
    </row>
    <row r="75" spans="1:12" s="65" customFormat="1" ht="18" customHeight="1">
      <c r="A75" s="65">
        <v>3</v>
      </c>
      <c r="B75" s="66"/>
      <c r="C75" s="66" t="s">
        <v>14</v>
      </c>
      <c r="D75" s="75">
        <v>325</v>
      </c>
      <c r="E75" s="66">
        <f t="shared" ref="E75:L75" si="15">SUM(E73:E74)</f>
        <v>5.2</v>
      </c>
      <c r="F75" s="106">
        <f t="shared" si="15"/>
        <v>8.01</v>
      </c>
      <c r="G75" s="106">
        <f t="shared" si="15"/>
        <v>14.57</v>
      </c>
      <c r="H75" s="106">
        <f t="shared" si="15"/>
        <v>150.94999999999999</v>
      </c>
      <c r="I75" s="106">
        <f t="shared" si="15"/>
        <v>0.19</v>
      </c>
      <c r="J75" s="106">
        <f t="shared" si="15"/>
        <v>14.010000000000002</v>
      </c>
      <c r="K75" s="106">
        <f t="shared" si="15"/>
        <v>38.1</v>
      </c>
      <c r="L75" s="106">
        <f t="shared" si="15"/>
        <v>1.51</v>
      </c>
    </row>
    <row r="76" spans="1:12" s="65" customFormat="1" ht="18" customHeight="1">
      <c r="B76" s="135" t="s">
        <v>172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7"/>
    </row>
    <row r="77" spans="1:12" s="65" customFormat="1" ht="18" customHeight="1">
      <c r="B77" s="66" t="s">
        <v>114</v>
      </c>
      <c r="C77" s="64" t="s">
        <v>85</v>
      </c>
      <c r="D77" s="69">
        <v>150</v>
      </c>
      <c r="E77" s="38">
        <v>0.75</v>
      </c>
      <c r="F77" s="38">
        <v>0</v>
      </c>
      <c r="G77" s="38">
        <v>15.15</v>
      </c>
      <c r="H77" s="38">
        <v>64</v>
      </c>
      <c r="I77" s="38">
        <v>3</v>
      </c>
      <c r="J77" s="38">
        <v>10.5</v>
      </c>
      <c r="K77" s="38">
        <v>6</v>
      </c>
      <c r="L77" s="38">
        <v>2.1</v>
      </c>
    </row>
    <row r="78" spans="1:12" ht="18" customHeight="1">
      <c r="B78" s="66"/>
      <c r="C78" s="112" t="s">
        <v>14</v>
      </c>
      <c r="D78" s="37">
        <f>D77</f>
        <v>150</v>
      </c>
      <c r="E78" s="51">
        <f>E77</f>
        <v>0.75</v>
      </c>
      <c r="F78" s="51">
        <f t="shared" ref="F78:L78" si="16">F77</f>
        <v>0</v>
      </c>
      <c r="G78" s="51">
        <f t="shared" si="16"/>
        <v>15.15</v>
      </c>
      <c r="H78" s="51">
        <f t="shared" si="16"/>
        <v>64</v>
      </c>
      <c r="I78" s="51">
        <f t="shared" si="16"/>
        <v>3</v>
      </c>
      <c r="J78" s="51">
        <f t="shared" si="16"/>
        <v>10.5</v>
      </c>
      <c r="K78" s="51">
        <f t="shared" si="16"/>
        <v>6</v>
      </c>
      <c r="L78" s="51">
        <f t="shared" si="16"/>
        <v>2.1</v>
      </c>
    </row>
    <row r="79" spans="1:12" ht="18" customHeight="1">
      <c r="A79" s="35">
        <v>3</v>
      </c>
      <c r="B79" s="138" t="s">
        <v>173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</row>
    <row r="80" spans="1:12" s="65" customFormat="1" ht="18" customHeight="1">
      <c r="B80" s="69" t="s">
        <v>185</v>
      </c>
      <c r="C80" s="64" t="s">
        <v>195</v>
      </c>
      <c r="D80" s="69">
        <v>50</v>
      </c>
      <c r="E80" s="38">
        <v>0.6</v>
      </c>
      <c r="F80" s="38">
        <v>3</v>
      </c>
      <c r="G80" s="38">
        <v>4.4000000000000004</v>
      </c>
      <c r="H80" s="38">
        <v>48</v>
      </c>
      <c r="I80" s="38">
        <v>0.8</v>
      </c>
      <c r="J80" s="38">
        <v>12</v>
      </c>
      <c r="K80" s="38">
        <v>16.8</v>
      </c>
      <c r="L80" s="38">
        <v>0.3</v>
      </c>
    </row>
    <row r="81" spans="1:12" ht="18" customHeight="1">
      <c r="B81" s="66" t="s">
        <v>196</v>
      </c>
      <c r="C81" s="22" t="s">
        <v>197</v>
      </c>
      <c r="D81" s="69">
        <v>200</v>
      </c>
      <c r="E81" s="68">
        <v>1.39</v>
      </c>
      <c r="F81" s="68">
        <v>3.91</v>
      </c>
      <c r="G81" s="68">
        <v>6.79</v>
      </c>
      <c r="H81" s="68">
        <v>67.8</v>
      </c>
      <c r="I81" s="68">
        <v>14.7</v>
      </c>
      <c r="J81" s="68">
        <v>34.6</v>
      </c>
      <c r="K81" s="68">
        <v>17.8</v>
      </c>
      <c r="L81" s="68">
        <v>0.64</v>
      </c>
    </row>
    <row r="82" spans="1:12" ht="21" customHeight="1">
      <c r="B82" s="66" t="s">
        <v>150</v>
      </c>
      <c r="C82" s="64" t="s">
        <v>151</v>
      </c>
      <c r="D82" s="69">
        <v>60</v>
      </c>
      <c r="E82" s="68">
        <v>10.6</v>
      </c>
      <c r="F82" s="68">
        <v>7.4</v>
      </c>
      <c r="G82" s="68">
        <v>1.1000000000000001</v>
      </c>
      <c r="H82" s="68">
        <v>113.4</v>
      </c>
      <c r="I82" s="68">
        <v>0.86</v>
      </c>
      <c r="J82" s="68">
        <v>11.5</v>
      </c>
      <c r="K82" s="68">
        <v>10.7</v>
      </c>
      <c r="L82" s="68">
        <v>0.7</v>
      </c>
    </row>
    <row r="83" spans="1:12" ht="18" customHeight="1">
      <c r="B83" s="66" t="s">
        <v>152</v>
      </c>
      <c r="C83" s="64" t="s">
        <v>153</v>
      </c>
      <c r="D83" s="37">
        <v>100</v>
      </c>
      <c r="E83" s="68">
        <v>1.7</v>
      </c>
      <c r="F83" s="68">
        <v>2.7</v>
      </c>
      <c r="G83" s="68">
        <v>13.1</v>
      </c>
      <c r="H83" s="68">
        <v>87</v>
      </c>
      <c r="I83" s="68">
        <v>3.6</v>
      </c>
      <c r="J83" s="68">
        <v>8.9</v>
      </c>
      <c r="K83" s="68">
        <v>19.5</v>
      </c>
      <c r="L83" s="68">
        <v>0.7</v>
      </c>
    </row>
    <row r="84" spans="1:12" ht="20.25" customHeight="1">
      <c r="B84" s="66" t="s">
        <v>88</v>
      </c>
      <c r="C84" s="64" t="s">
        <v>204</v>
      </c>
      <c r="D84" s="37">
        <v>180</v>
      </c>
      <c r="E84" s="68">
        <v>0.18</v>
      </c>
      <c r="F84" s="68">
        <v>0.09</v>
      </c>
      <c r="G84" s="68">
        <v>10.98</v>
      </c>
      <c r="H84" s="68">
        <v>44.1</v>
      </c>
      <c r="I84" s="68">
        <v>1.44</v>
      </c>
      <c r="J84" s="68">
        <v>5.29</v>
      </c>
      <c r="K84" s="68">
        <v>2.82</v>
      </c>
      <c r="L84" s="68">
        <v>0.71</v>
      </c>
    </row>
    <row r="85" spans="1:12" ht="18" customHeight="1">
      <c r="A85" s="35">
        <v>3</v>
      </c>
      <c r="B85" s="36"/>
      <c r="C85" s="36" t="s">
        <v>14</v>
      </c>
      <c r="D85" s="37">
        <f t="shared" ref="D85:L85" si="17">SUM(D80:D84)</f>
        <v>590</v>
      </c>
      <c r="E85" s="36">
        <f t="shared" si="17"/>
        <v>14.469999999999999</v>
      </c>
      <c r="F85" s="97">
        <f t="shared" si="17"/>
        <v>17.100000000000001</v>
      </c>
      <c r="G85" s="97">
        <f t="shared" si="17"/>
        <v>36.370000000000005</v>
      </c>
      <c r="H85" s="97">
        <f t="shared" si="17"/>
        <v>360.3</v>
      </c>
      <c r="I85" s="97">
        <f t="shared" si="17"/>
        <v>21.400000000000002</v>
      </c>
      <c r="J85" s="97">
        <f t="shared" si="17"/>
        <v>72.290000000000006</v>
      </c>
      <c r="K85" s="97">
        <f t="shared" si="17"/>
        <v>67.61999999999999</v>
      </c>
      <c r="L85" s="97">
        <f t="shared" si="17"/>
        <v>3.05</v>
      </c>
    </row>
    <row r="86" spans="1:12" ht="18" customHeight="1">
      <c r="B86" s="138" t="s">
        <v>174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</row>
    <row r="87" spans="1:12" s="65" customFormat="1" ht="19.149999999999999" customHeight="1">
      <c r="B87" s="134" t="s">
        <v>268</v>
      </c>
      <c r="C87" s="64" t="s">
        <v>154</v>
      </c>
      <c r="D87" s="69">
        <v>100</v>
      </c>
      <c r="E87" s="68">
        <v>0.6</v>
      </c>
      <c r="F87" s="68">
        <v>0.1</v>
      </c>
      <c r="G87" s="68">
        <v>5.5</v>
      </c>
      <c r="H87" s="68">
        <v>26</v>
      </c>
      <c r="I87" s="68">
        <v>2.19</v>
      </c>
      <c r="J87" s="68">
        <v>14</v>
      </c>
      <c r="K87" s="68">
        <v>15</v>
      </c>
      <c r="L87" s="68">
        <v>0.92</v>
      </c>
    </row>
    <row r="88" spans="1:12" s="65" customFormat="1" ht="18" customHeight="1">
      <c r="B88" s="83"/>
      <c r="C88" s="83" t="s">
        <v>14</v>
      </c>
      <c r="D88" s="69">
        <f t="shared" ref="D88:L88" si="18">SUM(D87)</f>
        <v>100</v>
      </c>
      <c r="E88" s="83">
        <f t="shared" si="18"/>
        <v>0.6</v>
      </c>
      <c r="F88" s="83">
        <f t="shared" si="18"/>
        <v>0.1</v>
      </c>
      <c r="G88" s="83">
        <f t="shared" si="18"/>
        <v>5.5</v>
      </c>
      <c r="H88" s="83">
        <f t="shared" si="18"/>
        <v>26</v>
      </c>
      <c r="I88" s="83">
        <f t="shared" si="18"/>
        <v>2.19</v>
      </c>
      <c r="J88" s="83">
        <f t="shared" si="18"/>
        <v>14</v>
      </c>
      <c r="K88" s="83">
        <f t="shared" si="18"/>
        <v>15</v>
      </c>
      <c r="L88" s="83">
        <f t="shared" si="18"/>
        <v>0.92</v>
      </c>
    </row>
    <row r="89" spans="1:12" s="65" customFormat="1" ht="18" customHeight="1">
      <c r="B89" s="135" t="s">
        <v>175</v>
      </c>
      <c r="C89" s="136"/>
      <c r="D89" s="136"/>
      <c r="E89" s="136"/>
      <c r="F89" s="136"/>
      <c r="G89" s="136"/>
      <c r="H89" s="136"/>
      <c r="I89" s="136"/>
      <c r="J89" s="136"/>
      <c r="K89" s="136"/>
      <c r="L89" s="137"/>
    </row>
    <row r="90" spans="1:12" ht="25.15" customHeight="1">
      <c r="A90" s="35">
        <v>3</v>
      </c>
      <c r="B90" s="58" t="s">
        <v>155</v>
      </c>
      <c r="C90" s="22" t="s">
        <v>156</v>
      </c>
      <c r="D90" s="69">
        <v>40</v>
      </c>
      <c r="E90" s="39">
        <v>0.56000000000000005</v>
      </c>
      <c r="F90" s="68">
        <v>2.0299999999999998</v>
      </c>
      <c r="G90" s="68">
        <v>3.6</v>
      </c>
      <c r="H90" s="68">
        <v>34.96</v>
      </c>
      <c r="I90" s="68">
        <v>12.98</v>
      </c>
      <c r="J90" s="68">
        <v>14.95</v>
      </c>
      <c r="K90" s="68">
        <v>6.06</v>
      </c>
      <c r="L90" s="68">
        <v>0.2</v>
      </c>
    </row>
    <row r="91" spans="1:12" s="65" customFormat="1" ht="15.6" customHeight="1">
      <c r="B91" s="127" t="s">
        <v>178</v>
      </c>
      <c r="C91" s="64" t="s">
        <v>179</v>
      </c>
      <c r="D91" s="128">
        <v>40</v>
      </c>
      <c r="E91" s="68">
        <v>0.4</v>
      </c>
      <c r="F91" s="68">
        <v>2.4</v>
      </c>
      <c r="G91" s="68">
        <v>1.2</v>
      </c>
      <c r="H91" s="68">
        <v>29</v>
      </c>
      <c r="I91" s="68">
        <v>6.4</v>
      </c>
      <c r="J91" s="68">
        <v>7.5</v>
      </c>
      <c r="K91" s="68">
        <v>6.3</v>
      </c>
      <c r="L91" s="68">
        <v>0.3</v>
      </c>
    </row>
    <row r="92" spans="1:12" s="65" customFormat="1" ht="16.899999999999999" customHeight="1">
      <c r="B92" s="127"/>
      <c r="C92" s="64" t="s">
        <v>39</v>
      </c>
      <c r="D92" s="128"/>
      <c r="E92" s="127">
        <f>SUM(E90:E91)/2</f>
        <v>0.48000000000000004</v>
      </c>
      <c r="F92" s="127">
        <f t="shared" ref="F92" si="19">SUM(F90:F91)/2</f>
        <v>2.2149999999999999</v>
      </c>
      <c r="G92" s="127">
        <f t="shared" ref="G92:L92" si="20">SUM(G90:G91)/2</f>
        <v>2.4</v>
      </c>
      <c r="H92" s="127">
        <f t="shared" si="20"/>
        <v>31.98</v>
      </c>
      <c r="I92" s="127">
        <f t="shared" si="20"/>
        <v>9.6900000000000013</v>
      </c>
      <c r="J92" s="127">
        <f t="shared" si="20"/>
        <v>11.225</v>
      </c>
      <c r="K92" s="127">
        <f t="shared" si="20"/>
        <v>6.18</v>
      </c>
      <c r="L92" s="127">
        <f t="shared" si="20"/>
        <v>0.25</v>
      </c>
    </row>
    <row r="93" spans="1:12" s="65" customFormat="1" ht="18" customHeight="1">
      <c r="B93" s="94" t="s">
        <v>157</v>
      </c>
      <c r="C93" s="64" t="s">
        <v>158</v>
      </c>
      <c r="D93" s="95">
        <v>60</v>
      </c>
      <c r="E93" s="68">
        <v>10.5</v>
      </c>
      <c r="F93" s="68">
        <v>5.77</v>
      </c>
      <c r="G93" s="68">
        <v>6.64</v>
      </c>
      <c r="H93" s="68">
        <v>120.69</v>
      </c>
      <c r="I93" s="68">
        <v>0.6</v>
      </c>
      <c r="J93" s="68">
        <v>26.5</v>
      </c>
      <c r="K93" s="68">
        <v>27.1</v>
      </c>
      <c r="L93" s="68">
        <v>0.69</v>
      </c>
    </row>
    <row r="94" spans="1:12" s="65" customFormat="1" ht="18" customHeight="1">
      <c r="B94" s="106" t="s">
        <v>159</v>
      </c>
      <c r="C94" s="64" t="s">
        <v>160</v>
      </c>
      <c r="D94" s="107">
        <v>110</v>
      </c>
      <c r="E94" s="68">
        <v>1.64</v>
      </c>
      <c r="F94" s="68">
        <v>3.8</v>
      </c>
      <c r="G94" s="68">
        <v>10.4</v>
      </c>
      <c r="H94" s="68">
        <v>82.4</v>
      </c>
      <c r="I94" s="68">
        <v>8</v>
      </c>
      <c r="J94" s="68">
        <v>21.3</v>
      </c>
      <c r="K94" s="68">
        <v>23.2</v>
      </c>
      <c r="L94" s="68">
        <v>0.67</v>
      </c>
    </row>
    <row r="95" spans="1:12" s="65" customFormat="1" ht="18" customHeight="1">
      <c r="A95" s="65">
        <v>3</v>
      </c>
      <c r="B95" s="69" t="s">
        <v>262</v>
      </c>
      <c r="C95" s="64" t="s">
        <v>261</v>
      </c>
      <c r="D95" s="82">
        <v>120</v>
      </c>
      <c r="E95" s="68">
        <v>0.48</v>
      </c>
      <c r="F95" s="68">
        <v>0.48</v>
      </c>
      <c r="G95" s="68">
        <v>11.76</v>
      </c>
      <c r="H95" s="68">
        <v>56</v>
      </c>
      <c r="I95" s="68">
        <v>12</v>
      </c>
      <c r="J95" s="68">
        <v>19.2</v>
      </c>
      <c r="K95" s="68">
        <v>10.8</v>
      </c>
      <c r="L95" s="68">
        <v>2.64</v>
      </c>
    </row>
    <row r="96" spans="1:12" s="65" customFormat="1" ht="18" customHeight="1">
      <c r="B96" s="69" t="s">
        <v>123</v>
      </c>
      <c r="C96" s="64" t="s">
        <v>84</v>
      </c>
      <c r="D96" s="107">
        <v>180</v>
      </c>
      <c r="E96" s="68">
        <v>0.4</v>
      </c>
      <c r="F96" s="68">
        <v>0.02</v>
      </c>
      <c r="G96" s="68">
        <v>19</v>
      </c>
      <c r="H96" s="68">
        <v>77.7</v>
      </c>
      <c r="I96" s="68">
        <v>0.36</v>
      </c>
      <c r="J96" s="68">
        <v>28.54</v>
      </c>
      <c r="K96" s="68">
        <v>5.4</v>
      </c>
      <c r="L96" s="68">
        <v>1.1100000000000001</v>
      </c>
    </row>
    <row r="97" spans="1:12" ht="18" customHeight="1">
      <c r="A97" s="35">
        <v>3</v>
      </c>
      <c r="B97" s="36"/>
      <c r="C97" s="36" t="s">
        <v>14</v>
      </c>
      <c r="D97" s="37">
        <v>510</v>
      </c>
      <c r="E97" s="83">
        <f t="shared" ref="E97:L97" si="21">SUM(E90:E96)</f>
        <v>14.46</v>
      </c>
      <c r="F97" s="106">
        <f t="shared" si="21"/>
        <v>16.715</v>
      </c>
      <c r="G97" s="106">
        <f t="shared" si="21"/>
        <v>55</v>
      </c>
      <c r="H97" s="106">
        <f t="shared" si="21"/>
        <v>432.72999999999996</v>
      </c>
      <c r="I97" s="106">
        <f t="shared" si="21"/>
        <v>50.03</v>
      </c>
      <c r="J97" s="106">
        <f t="shared" si="21"/>
        <v>129.215</v>
      </c>
      <c r="K97" s="106">
        <f t="shared" si="21"/>
        <v>85.04</v>
      </c>
      <c r="L97" s="106">
        <f t="shared" si="21"/>
        <v>5.86</v>
      </c>
    </row>
    <row r="98" spans="1:12" ht="18" customHeight="1">
      <c r="A98" s="35">
        <v>3</v>
      </c>
      <c r="B98" s="36"/>
      <c r="C98" s="36" t="s">
        <v>18</v>
      </c>
      <c r="D98" s="37">
        <f>D75+D78+D85+D88+D97</f>
        <v>1675</v>
      </c>
      <c r="E98" s="36">
        <f t="shared" ref="E98:L98" si="22">E75+E78+E85+E97+E88</f>
        <v>35.479999999999997</v>
      </c>
      <c r="F98" s="97">
        <f t="shared" si="22"/>
        <v>41.925000000000004</v>
      </c>
      <c r="G98" s="97">
        <f t="shared" si="22"/>
        <v>126.59</v>
      </c>
      <c r="H98" s="97">
        <f>H75+H78+H85+H97+H88</f>
        <v>1033.98</v>
      </c>
      <c r="I98" s="97">
        <f t="shared" si="22"/>
        <v>76.81</v>
      </c>
      <c r="J98" s="97">
        <f t="shared" si="22"/>
        <v>240.01500000000001</v>
      </c>
      <c r="K98" s="97">
        <f t="shared" si="22"/>
        <v>211.76</v>
      </c>
      <c r="L98" s="97">
        <f t="shared" si="22"/>
        <v>13.44</v>
      </c>
    </row>
    <row r="99" spans="1:12" s="65" customFormat="1" ht="20.100000000000001" customHeight="1">
      <c r="B99" s="121"/>
      <c r="C99" s="121" t="s">
        <v>93</v>
      </c>
      <c r="D99" s="122"/>
      <c r="E99" s="121">
        <v>42</v>
      </c>
      <c r="F99" s="121">
        <v>47</v>
      </c>
      <c r="G99" s="121">
        <v>203</v>
      </c>
      <c r="H99" s="121">
        <v>1400</v>
      </c>
      <c r="I99" s="121">
        <v>45</v>
      </c>
      <c r="J99" s="121">
        <v>800</v>
      </c>
      <c r="K99" s="121">
        <v>80</v>
      </c>
      <c r="L99" s="121">
        <v>10</v>
      </c>
    </row>
    <row r="100" spans="1:12" s="65" customFormat="1" ht="20.100000000000001" customHeight="1">
      <c r="B100" s="123"/>
      <c r="C100" s="123" t="s">
        <v>94</v>
      </c>
      <c r="D100" s="124"/>
      <c r="E100" s="123">
        <f>ROUND(E98/E99*100-100,2)</f>
        <v>-15.52</v>
      </c>
      <c r="F100" s="123">
        <f t="shared" ref="F100:L100" si="23">ROUND(F98/F99*100-100,2)</f>
        <v>-10.8</v>
      </c>
      <c r="G100" s="123">
        <f t="shared" si="23"/>
        <v>-37.64</v>
      </c>
      <c r="H100" s="123">
        <f t="shared" si="23"/>
        <v>-26.14</v>
      </c>
      <c r="I100" s="123">
        <f t="shared" si="23"/>
        <v>70.69</v>
      </c>
      <c r="J100" s="123">
        <f t="shared" si="23"/>
        <v>-70</v>
      </c>
      <c r="K100" s="123">
        <f t="shared" si="23"/>
        <v>164.7</v>
      </c>
      <c r="L100" s="123">
        <f t="shared" si="23"/>
        <v>34.4</v>
      </c>
    </row>
    <row r="101" spans="1:12" s="30" customFormat="1" ht="20.100000000000001" customHeight="1">
      <c r="B101" s="31" t="s">
        <v>67</v>
      </c>
      <c r="C101" s="32"/>
      <c r="D101" s="41"/>
      <c r="E101" s="42"/>
      <c r="F101" s="42"/>
      <c r="G101" s="42"/>
      <c r="H101" s="42"/>
      <c r="I101" s="42"/>
      <c r="J101" s="42"/>
      <c r="K101" s="42"/>
      <c r="L101" s="42"/>
    </row>
    <row r="102" spans="1:12" s="30" customFormat="1" ht="20.100000000000001" customHeight="1">
      <c r="B102" s="31" t="s">
        <v>64</v>
      </c>
      <c r="C102" s="32"/>
      <c r="D102" s="41"/>
      <c r="E102" s="42"/>
      <c r="F102" s="42"/>
      <c r="G102" s="42"/>
      <c r="H102" s="42"/>
      <c r="I102" s="42"/>
      <c r="J102" s="42"/>
      <c r="K102" s="42"/>
      <c r="L102" s="42"/>
    </row>
    <row r="103" spans="1:12" s="30" customFormat="1">
      <c r="B103" s="31" t="s">
        <v>95</v>
      </c>
      <c r="C103" s="32"/>
      <c r="D103" s="33"/>
      <c r="E103" s="34"/>
      <c r="F103" s="34"/>
      <c r="G103" s="34"/>
      <c r="H103" s="34"/>
      <c r="I103" s="34"/>
      <c r="J103" s="34"/>
      <c r="K103" s="34"/>
      <c r="L103" s="34"/>
    </row>
    <row r="104" spans="1:12" s="30" customFormat="1" ht="20.100000000000001" customHeight="1">
      <c r="B104" s="40"/>
      <c r="C104" s="40"/>
      <c r="D104" s="41"/>
      <c r="E104" s="42"/>
      <c r="F104" s="42"/>
      <c r="G104" s="42"/>
      <c r="H104" s="42"/>
      <c r="I104" s="42"/>
      <c r="J104" s="42"/>
      <c r="K104" s="42"/>
      <c r="L104" s="42"/>
    </row>
    <row r="105" spans="1:12" s="30" customFormat="1" ht="32.25" customHeight="1">
      <c r="B105" s="139" t="s">
        <v>0</v>
      </c>
      <c r="C105" s="139" t="s">
        <v>1</v>
      </c>
      <c r="D105" s="140" t="s">
        <v>2</v>
      </c>
      <c r="E105" s="138" t="s">
        <v>3</v>
      </c>
      <c r="F105" s="138"/>
      <c r="G105" s="138"/>
      <c r="H105" s="138" t="s">
        <v>4</v>
      </c>
      <c r="I105" s="100"/>
      <c r="J105" s="138" t="s">
        <v>5</v>
      </c>
      <c r="K105" s="138"/>
      <c r="L105" s="138"/>
    </row>
    <row r="106" spans="1:12" s="30" customFormat="1" ht="33" customHeight="1">
      <c r="B106" s="139"/>
      <c r="C106" s="139"/>
      <c r="D106" s="140"/>
      <c r="E106" s="36" t="s">
        <v>6</v>
      </c>
      <c r="F106" s="36" t="s">
        <v>7</v>
      </c>
      <c r="G106" s="36" t="s">
        <v>8</v>
      </c>
      <c r="H106" s="138"/>
      <c r="I106" s="36" t="s">
        <v>9</v>
      </c>
      <c r="J106" s="36" t="s">
        <v>10</v>
      </c>
      <c r="K106" s="36" t="s">
        <v>11</v>
      </c>
      <c r="L106" s="36" t="s">
        <v>12</v>
      </c>
    </row>
    <row r="107" spans="1:12" ht="18" customHeight="1">
      <c r="A107" s="35">
        <v>4</v>
      </c>
      <c r="B107" s="138" t="s">
        <v>190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</row>
    <row r="108" spans="1:12" ht="33.6" customHeight="1">
      <c r="A108" s="35">
        <v>4</v>
      </c>
      <c r="B108" s="36" t="s">
        <v>176</v>
      </c>
      <c r="C108" s="22" t="s">
        <v>177</v>
      </c>
      <c r="D108" s="69">
        <v>200</v>
      </c>
      <c r="E108" s="39">
        <v>1.93</v>
      </c>
      <c r="F108" s="68">
        <v>3</v>
      </c>
      <c r="G108" s="68">
        <v>3.6</v>
      </c>
      <c r="H108" s="68">
        <v>49.5</v>
      </c>
      <c r="I108" s="68">
        <v>0</v>
      </c>
      <c r="J108" s="68">
        <v>2.97</v>
      </c>
      <c r="K108" s="68">
        <v>8.85</v>
      </c>
      <c r="L108" s="68">
        <v>0.26</v>
      </c>
    </row>
    <row r="109" spans="1:12" ht="18" customHeight="1">
      <c r="A109" s="35">
        <v>4</v>
      </c>
      <c r="B109" s="58" t="s">
        <v>112</v>
      </c>
      <c r="C109" s="22" t="s">
        <v>90</v>
      </c>
      <c r="D109" s="129" t="s">
        <v>113</v>
      </c>
      <c r="E109" s="68">
        <v>0.01</v>
      </c>
      <c r="F109" s="68">
        <v>0.01</v>
      </c>
      <c r="G109" s="68">
        <v>4.99</v>
      </c>
      <c r="H109" s="68">
        <v>19.95</v>
      </c>
      <c r="I109" s="68">
        <v>0.02</v>
      </c>
      <c r="J109" s="68">
        <v>7.94</v>
      </c>
      <c r="K109" s="68">
        <v>0.9</v>
      </c>
      <c r="L109" s="68">
        <v>0.18</v>
      </c>
    </row>
    <row r="110" spans="1:12" s="65" customFormat="1" ht="18" customHeight="1">
      <c r="A110" s="65">
        <v>4</v>
      </c>
      <c r="B110" s="66"/>
      <c r="C110" s="66" t="s">
        <v>14</v>
      </c>
      <c r="D110" s="67">
        <v>355</v>
      </c>
      <c r="E110" s="66">
        <f t="shared" ref="E110:L110" si="24">SUM(E108:E109)</f>
        <v>1.94</v>
      </c>
      <c r="F110" s="106">
        <f t="shared" si="24"/>
        <v>3.01</v>
      </c>
      <c r="G110" s="106">
        <f t="shared" si="24"/>
        <v>8.59</v>
      </c>
      <c r="H110" s="106">
        <f t="shared" si="24"/>
        <v>69.45</v>
      </c>
      <c r="I110" s="106">
        <f t="shared" si="24"/>
        <v>0.02</v>
      </c>
      <c r="J110" s="106">
        <f t="shared" si="24"/>
        <v>10.91</v>
      </c>
      <c r="K110" s="106">
        <f t="shared" si="24"/>
        <v>9.75</v>
      </c>
      <c r="L110" s="106">
        <f t="shared" si="24"/>
        <v>0.44</v>
      </c>
    </row>
    <row r="111" spans="1:12" s="65" customFormat="1" ht="18" customHeight="1">
      <c r="B111" s="135" t="s">
        <v>191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7"/>
    </row>
    <row r="112" spans="1:12" ht="18" customHeight="1">
      <c r="B112" s="58" t="s">
        <v>114</v>
      </c>
      <c r="C112" s="64" t="s">
        <v>85</v>
      </c>
      <c r="D112" s="37">
        <v>150</v>
      </c>
      <c r="E112" s="68">
        <v>0.75</v>
      </c>
      <c r="F112" s="68">
        <v>0</v>
      </c>
      <c r="G112" s="68">
        <v>15.15</v>
      </c>
      <c r="H112" s="68">
        <v>64</v>
      </c>
      <c r="I112" s="68">
        <v>3</v>
      </c>
      <c r="J112" s="68">
        <v>10.5</v>
      </c>
      <c r="K112" s="68">
        <v>6</v>
      </c>
      <c r="L112" s="68">
        <v>2.1</v>
      </c>
    </row>
    <row r="113" spans="1:12" ht="18" customHeight="1">
      <c r="B113" s="36"/>
      <c r="C113" s="66" t="s">
        <v>14</v>
      </c>
      <c r="D113" s="37">
        <f>D112</f>
        <v>150</v>
      </c>
      <c r="E113" s="36">
        <f>E112</f>
        <v>0.75</v>
      </c>
      <c r="F113" s="106">
        <f t="shared" ref="F113:L113" si="25">F112</f>
        <v>0</v>
      </c>
      <c r="G113" s="106">
        <f t="shared" si="25"/>
        <v>15.15</v>
      </c>
      <c r="H113" s="106">
        <f t="shared" si="25"/>
        <v>64</v>
      </c>
      <c r="I113" s="106">
        <f t="shared" si="25"/>
        <v>3</v>
      </c>
      <c r="J113" s="106">
        <f t="shared" si="25"/>
        <v>10.5</v>
      </c>
      <c r="K113" s="106">
        <f t="shared" si="25"/>
        <v>6</v>
      </c>
      <c r="L113" s="106">
        <f t="shared" si="25"/>
        <v>2.1</v>
      </c>
    </row>
    <row r="114" spans="1:12" ht="18" customHeight="1">
      <c r="A114" s="35">
        <v>4</v>
      </c>
      <c r="B114" s="138" t="s">
        <v>192</v>
      </c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</row>
    <row r="115" spans="1:12" s="65" customFormat="1" ht="18" customHeight="1">
      <c r="B115" s="106" t="s">
        <v>115</v>
      </c>
      <c r="C115" s="64" t="s">
        <v>180</v>
      </c>
      <c r="D115" s="69">
        <v>50</v>
      </c>
      <c r="E115" s="68">
        <v>0.6</v>
      </c>
      <c r="F115" s="68">
        <v>3</v>
      </c>
      <c r="G115" s="68">
        <v>5</v>
      </c>
      <c r="H115" s="68">
        <v>51</v>
      </c>
      <c r="I115" s="68">
        <v>1.7</v>
      </c>
      <c r="J115" s="68">
        <v>14.6</v>
      </c>
      <c r="K115" s="68">
        <v>8.1</v>
      </c>
      <c r="L115" s="68">
        <v>0.7</v>
      </c>
    </row>
    <row r="116" spans="1:12" s="65" customFormat="1" ht="31.9" customHeight="1">
      <c r="B116" s="97" t="s">
        <v>181</v>
      </c>
      <c r="C116" s="64" t="s">
        <v>182</v>
      </c>
      <c r="D116" s="69">
        <v>180</v>
      </c>
      <c r="E116" s="68">
        <v>1.69</v>
      </c>
      <c r="F116" s="68">
        <v>2</v>
      </c>
      <c r="G116" s="68">
        <v>12</v>
      </c>
      <c r="H116" s="68">
        <v>73</v>
      </c>
      <c r="I116" s="68">
        <v>8.6</v>
      </c>
      <c r="J116" s="68">
        <v>18.600000000000001</v>
      </c>
      <c r="K116" s="68">
        <v>22.4</v>
      </c>
      <c r="L116" s="68">
        <v>0.8</v>
      </c>
    </row>
    <row r="117" spans="1:12" s="65" customFormat="1" ht="18" customHeight="1">
      <c r="B117" s="106" t="s">
        <v>183</v>
      </c>
      <c r="C117" s="64" t="s">
        <v>184</v>
      </c>
      <c r="D117" s="69">
        <v>150</v>
      </c>
      <c r="E117" s="68">
        <v>25.4</v>
      </c>
      <c r="F117" s="68">
        <v>30.4</v>
      </c>
      <c r="G117" s="68">
        <v>26</v>
      </c>
      <c r="H117" s="68">
        <v>481</v>
      </c>
      <c r="I117" s="68">
        <v>1.43</v>
      </c>
      <c r="J117" s="68">
        <v>29.08</v>
      </c>
      <c r="K117" s="68">
        <v>43.69</v>
      </c>
      <c r="L117" s="68">
        <v>2.4900000000000002</v>
      </c>
    </row>
    <row r="118" spans="1:12" ht="18" customHeight="1">
      <c r="A118" s="35">
        <v>4</v>
      </c>
      <c r="B118" s="97" t="s">
        <v>123</v>
      </c>
      <c r="C118" s="64" t="s">
        <v>84</v>
      </c>
      <c r="D118" s="37">
        <v>180</v>
      </c>
      <c r="E118" s="68">
        <v>0.4</v>
      </c>
      <c r="F118" s="68">
        <v>0.02</v>
      </c>
      <c r="G118" s="68">
        <v>19</v>
      </c>
      <c r="H118" s="68">
        <v>77.7</v>
      </c>
      <c r="I118" s="68">
        <v>0.36</v>
      </c>
      <c r="J118" s="68">
        <v>28.54</v>
      </c>
      <c r="K118" s="68">
        <v>5.4</v>
      </c>
      <c r="L118" s="68">
        <v>1.1100000000000001</v>
      </c>
    </row>
    <row r="119" spans="1:12" ht="18" customHeight="1">
      <c r="A119" s="35">
        <v>4</v>
      </c>
      <c r="B119" s="36"/>
      <c r="C119" s="112" t="s">
        <v>14</v>
      </c>
      <c r="D119" s="37">
        <f t="shared" ref="D119:L119" si="26">SUM(D115:D118)</f>
        <v>560</v>
      </c>
      <c r="E119" s="83">
        <f t="shared" si="26"/>
        <v>28.089999999999996</v>
      </c>
      <c r="F119" s="106">
        <f t="shared" si="26"/>
        <v>35.42</v>
      </c>
      <c r="G119" s="106">
        <f t="shared" si="26"/>
        <v>62</v>
      </c>
      <c r="H119" s="106">
        <f t="shared" si="26"/>
        <v>682.7</v>
      </c>
      <c r="I119" s="106">
        <f t="shared" si="26"/>
        <v>12.089999999999998</v>
      </c>
      <c r="J119" s="106">
        <f t="shared" si="26"/>
        <v>90.82</v>
      </c>
      <c r="K119" s="106">
        <f t="shared" si="26"/>
        <v>79.59</v>
      </c>
      <c r="L119" s="106">
        <f t="shared" si="26"/>
        <v>5.1000000000000005</v>
      </c>
    </row>
    <row r="120" spans="1:12" ht="18" customHeight="1">
      <c r="A120" s="35">
        <v>4</v>
      </c>
      <c r="B120" s="138" t="s">
        <v>193</v>
      </c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</row>
    <row r="121" spans="1:12" s="65" customFormat="1" ht="18" customHeight="1">
      <c r="B121" s="83" t="s">
        <v>140</v>
      </c>
      <c r="C121" s="64" t="s">
        <v>141</v>
      </c>
      <c r="D121" s="69">
        <v>65</v>
      </c>
      <c r="E121" s="68">
        <v>0.26</v>
      </c>
      <c r="F121" s="68">
        <v>0.26</v>
      </c>
      <c r="G121" s="68">
        <v>20.100000000000001</v>
      </c>
      <c r="H121" s="68">
        <v>84.5</v>
      </c>
      <c r="I121" s="68">
        <v>2.7</v>
      </c>
      <c r="J121" s="68">
        <v>10.6</v>
      </c>
      <c r="K121" s="68">
        <v>5.7</v>
      </c>
      <c r="L121" s="68">
        <v>1.4</v>
      </c>
    </row>
    <row r="122" spans="1:12" s="65" customFormat="1" ht="18" customHeight="1">
      <c r="B122" s="83"/>
      <c r="C122" s="112" t="s">
        <v>14</v>
      </c>
      <c r="D122" s="69">
        <f t="shared" ref="D122:L122" si="27">SUM(D121)</f>
        <v>65</v>
      </c>
      <c r="E122" s="83">
        <f t="shared" si="27"/>
        <v>0.26</v>
      </c>
      <c r="F122" s="83">
        <f t="shared" si="27"/>
        <v>0.26</v>
      </c>
      <c r="G122" s="83">
        <f t="shared" si="27"/>
        <v>20.100000000000001</v>
      </c>
      <c r="H122" s="83">
        <f t="shared" si="27"/>
        <v>84.5</v>
      </c>
      <c r="I122" s="83">
        <f t="shared" si="27"/>
        <v>2.7</v>
      </c>
      <c r="J122" s="83">
        <f t="shared" si="27"/>
        <v>10.6</v>
      </c>
      <c r="K122" s="83">
        <f t="shared" si="27"/>
        <v>5.7</v>
      </c>
      <c r="L122" s="83">
        <f t="shared" si="27"/>
        <v>1.4</v>
      </c>
    </row>
    <row r="123" spans="1:12" s="65" customFormat="1" ht="18" customHeight="1">
      <c r="B123" s="135" t="s">
        <v>194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7"/>
    </row>
    <row r="124" spans="1:12" s="65" customFormat="1" ht="18" customHeight="1">
      <c r="B124" s="66" t="s">
        <v>185</v>
      </c>
      <c r="C124" s="64" t="s">
        <v>186</v>
      </c>
      <c r="D124" s="69">
        <v>50</v>
      </c>
      <c r="E124" s="68">
        <v>0.6</v>
      </c>
      <c r="F124" s="68">
        <v>3</v>
      </c>
      <c r="G124" s="68">
        <v>4.4000000000000004</v>
      </c>
      <c r="H124" s="68">
        <v>48</v>
      </c>
      <c r="I124" s="68">
        <v>0.8</v>
      </c>
      <c r="J124" s="68">
        <v>12</v>
      </c>
      <c r="K124" s="68">
        <v>16.8</v>
      </c>
      <c r="L124" s="68">
        <v>0.3</v>
      </c>
    </row>
    <row r="125" spans="1:12" s="65" customFormat="1" ht="18" customHeight="1">
      <c r="B125" s="66" t="s">
        <v>187</v>
      </c>
      <c r="C125" s="64" t="s">
        <v>188</v>
      </c>
      <c r="D125" s="69">
        <v>60</v>
      </c>
      <c r="E125" s="68">
        <v>10.8</v>
      </c>
      <c r="F125" s="68">
        <v>21</v>
      </c>
      <c r="G125" s="68">
        <v>0.59</v>
      </c>
      <c r="H125" s="68">
        <v>235</v>
      </c>
      <c r="I125" s="68">
        <v>0.28999999999999998</v>
      </c>
      <c r="J125" s="68">
        <v>6.92</v>
      </c>
      <c r="K125" s="68">
        <v>16</v>
      </c>
      <c r="L125" s="68">
        <v>1.24</v>
      </c>
    </row>
    <row r="126" spans="1:12" s="65" customFormat="1" ht="18" customHeight="1">
      <c r="B126" s="66" t="s">
        <v>152</v>
      </c>
      <c r="C126" s="64" t="s">
        <v>189</v>
      </c>
      <c r="D126" s="69">
        <v>100</v>
      </c>
      <c r="E126" s="68">
        <v>1.7</v>
      </c>
      <c r="F126" s="68">
        <v>2.7</v>
      </c>
      <c r="G126" s="68">
        <v>13.1</v>
      </c>
      <c r="H126" s="68">
        <v>87</v>
      </c>
      <c r="I126" s="68">
        <v>3.6</v>
      </c>
      <c r="J126" s="68">
        <v>8.9</v>
      </c>
      <c r="K126" s="68">
        <v>19.5</v>
      </c>
      <c r="L126" s="68">
        <v>0.7</v>
      </c>
    </row>
    <row r="127" spans="1:12" s="65" customFormat="1" ht="18" customHeight="1">
      <c r="B127" s="106" t="s">
        <v>146</v>
      </c>
      <c r="C127" s="64" t="s">
        <v>147</v>
      </c>
      <c r="D127" s="69">
        <v>150</v>
      </c>
      <c r="E127" s="68">
        <v>0.4</v>
      </c>
      <c r="F127" s="68">
        <v>0.1</v>
      </c>
      <c r="G127" s="68">
        <v>11.1</v>
      </c>
      <c r="H127" s="68">
        <v>46</v>
      </c>
      <c r="I127" s="68">
        <v>0.6</v>
      </c>
      <c r="J127" s="68">
        <v>5.2</v>
      </c>
      <c r="K127" s="68">
        <v>2.85</v>
      </c>
      <c r="L127" s="68">
        <v>1</v>
      </c>
    </row>
    <row r="128" spans="1:12" s="65" customFormat="1" ht="18" customHeight="1">
      <c r="B128" s="69" t="s">
        <v>262</v>
      </c>
      <c r="C128" s="64" t="s">
        <v>260</v>
      </c>
      <c r="D128" s="131">
        <v>95</v>
      </c>
      <c r="E128" s="68">
        <v>0.38</v>
      </c>
      <c r="F128" s="68">
        <v>0.28000000000000003</v>
      </c>
      <c r="G128" s="68">
        <v>9.8000000000000007</v>
      </c>
      <c r="H128" s="68">
        <v>44</v>
      </c>
      <c r="I128" s="68">
        <v>4.75</v>
      </c>
      <c r="J128" s="68">
        <v>18</v>
      </c>
      <c r="K128" s="68">
        <v>11</v>
      </c>
      <c r="L128" s="68">
        <v>2.2000000000000002</v>
      </c>
    </row>
    <row r="129" spans="1:12" ht="18" customHeight="1">
      <c r="A129" s="35">
        <v>4</v>
      </c>
      <c r="B129" s="36"/>
      <c r="C129" s="36" t="s">
        <v>14</v>
      </c>
      <c r="D129" s="75">
        <f t="shared" ref="D129:L129" si="28">SUM(D124:D128)</f>
        <v>455</v>
      </c>
      <c r="E129" s="36">
        <f t="shared" si="28"/>
        <v>13.88</v>
      </c>
      <c r="F129" s="83">
        <f t="shared" si="28"/>
        <v>27.080000000000002</v>
      </c>
      <c r="G129" s="83">
        <f t="shared" si="28"/>
        <v>38.989999999999995</v>
      </c>
      <c r="H129" s="83">
        <f t="shared" si="28"/>
        <v>460</v>
      </c>
      <c r="I129" s="83">
        <f t="shared" si="28"/>
        <v>10.039999999999999</v>
      </c>
      <c r="J129" s="83">
        <f t="shared" si="28"/>
        <v>51.02</v>
      </c>
      <c r="K129" s="83">
        <f t="shared" si="28"/>
        <v>66.150000000000006</v>
      </c>
      <c r="L129" s="83">
        <f t="shared" si="28"/>
        <v>5.44</v>
      </c>
    </row>
    <row r="130" spans="1:12" ht="18" customHeight="1">
      <c r="A130" s="35">
        <v>4</v>
      </c>
      <c r="B130" s="36"/>
      <c r="C130" s="36" t="s">
        <v>19</v>
      </c>
      <c r="D130" s="84">
        <f>D110+D113+D119+D122+D129</f>
        <v>1585</v>
      </c>
      <c r="E130" s="36">
        <f t="shared" ref="E130:L130" si="29">E110+E113+E119+E122+E129</f>
        <v>44.92</v>
      </c>
      <c r="F130" s="83">
        <f t="shared" si="29"/>
        <v>65.77</v>
      </c>
      <c r="G130" s="83">
        <f t="shared" si="29"/>
        <v>144.82999999999998</v>
      </c>
      <c r="H130" s="83">
        <f>H110+H113+H119+H122+H129</f>
        <v>1360.65</v>
      </c>
      <c r="I130" s="83">
        <f t="shared" si="29"/>
        <v>27.849999999999998</v>
      </c>
      <c r="J130" s="83">
        <f t="shared" si="29"/>
        <v>173.85</v>
      </c>
      <c r="K130" s="83">
        <f t="shared" si="29"/>
        <v>167.19</v>
      </c>
      <c r="L130" s="83">
        <f t="shared" si="29"/>
        <v>14.48</v>
      </c>
    </row>
    <row r="131" spans="1:12" s="65" customFormat="1" ht="20.100000000000001" customHeight="1">
      <c r="B131" s="121"/>
      <c r="C131" s="121" t="s">
        <v>93</v>
      </c>
      <c r="D131" s="122"/>
      <c r="E131" s="121">
        <v>42</v>
      </c>
      <c r="F131" s="121">
        <v>47</v>
      </c>
      <c r="G131" s="121">
        <v>203</v>
      </c>
      <c r="H131" s="121">
        <v>1400</v>
      </c>
      <c r="I131" s="121">
        <v>45</v>
      </c>
      <c r="J131" s="121">
        <v>800</v>
      </c>
      <c r="K131" s="121">
        <v>80</v>
      </c>
      <c r="L131" s="121">
        <v>10</v>
      </c>
    </row>
    <row r="132" spans="1:12" s="65" customFormat="1" ht="20.100000000000001" customHeight="1">
      <c r="B132" s="123"/>
      <c r="C132" s="123" t="s">
        <v>94</v>
      </c>
      <c r="D132" s="124"/>
      <c r="E132" s="123">
        <f>ROUND(E130/E131*100-100,2)</f>
        <v>6.95</v>
      </c>
      <c r="F132" s="123">
        <f t="shared" ref="F132:L132" si="30">ROUND(F130/F131*100-100,2)</f>
        <v>39.94</v>
      </c>
      <c r="G132" s="123">
        <f t="shared" si="30"/>
        <v>-28.66</v>
      </c>
      <c r="H132" s="123">
        <f t="shared" si="30"/>
        <v>-2.81</v>
      </c>
      <c r="I132" s="123">
        <f t="shared" si="30"/>
        <v>-38.11</v>
      </c>
      <c r="J132" s="123">
        <f t="shared" si="30"/>
        <v>-78.27</v>
      </c>
      <c r="K132" s="123">
        <f t="shared" si="30"/>
        <v>108.99</v>
      </c>
      <c r="L132" s="123">
        <f t="shared" si="30"/>
        <v>44.8</v>
      </c>
    </row>
    <row r="133" spans="1:12" s="30" customFormat="1" ht="20.100000000000001" customHeight="1">
      <c r="B133" s="31" t="s">
        <v>68</v>
      </c>
      <c r="C133" s="32"/>
      <c r="D133" s="41"/>
      <c r="E133" s="42"/>
      <c r="F133" s="42"/>
      <c r="G133" s="42"/>
      <c r="H133" s="42"/>
      <c r="I133" s="42"/>
      <c r="J133" s="42"/>
      <c r="K133" s="42"/>
      <c r="L133" s="42"/>
    </row>
    <row r="134" spans="1:12" s="30" customFormat="1" ht="20.100000000000001" customHeight="1">
      <c r="B134" s="31" t="s">
        <v>64</v>
      </c>
      <c r="C134" s="32"/>
      <c r="D134" s="41"/>
      <c r="E134" s="42"/>
      <c r="F134" s="42"/>
      <c r="G134" s="42"/>
      <c r="H134" s="42"/>
      <c r="I134" s="42"/>
      <c r="J134" s="42"/>
      <c r="K134" s="42"/>
      <c r="L134" s="42"/>
    </row>
    <row r="135" spans="1:12" s="30" customFormat="1">
      <c r="B135" s="31" t="s">
        <v>95</v>
      </c>
      <c r="C135" s="32"/>
      <c r="D135" s="33"/>
      <c r="E135" s="34"/>
      <c r="F135" s="34"/>
      <c r="G135" s="34"/>
      <c r="H135" s="34"/>
      <c r="I135" s="34"/>
      <c r="J135" s="34"/>
      <c r="K135" s="34"/>
      <c r="L135" s="34"/>
    </row>
    <row r="136" spans="1:12" s="30" customFormat="1" ht="20.100000000000001" hidden="1" customHeight="1">
      <c r="B136" s="40"/>
      <c r="C136" s="40"/>
      <c r="D136" s="41"/>
      <c r="E136" s="42"/>
      <c r="F136" s="42"/>
      <c r="G136" s="42"/>
      <c r="H136" s="42"/>
      <c r="I136" s="42"/>
      <c r="J136" s="42"/>
      <c r="K136" s="42"/>
      <c r="L136" s="42"/>
    </row>
    <row r="137" spans="1:12" s="30" customFormat="1" ht="39.75" customHeight="1">
      <c r="B137" s="139" t="s">
        <v>0</v>
      </c>
      <c r="C137" s="139" t="s">
        <v>1</v>
      </c>
      <c r="D137" s="140" t="s">
        <v>2</v>
      </c>
      <c r="E137" s="138" t="s">
        <v>3</v>
      </c>
      <c r="F137" s="138"/>
      <c r="G137" s="138"/>
      <c r="H137" s="138" t="s">
        <v>4</v>
      </c>
      <c r="I137" s="100"/>
      <c r="J137" s="138" t="s">
        <v>5</v>
      </c>
      <c r="K137" s="138"/>
      <c r="L137" s="138"/>
    </row>
    <row r="138" spans="1:12" s="30" customFormat="1" ht="39.75" customHeight="1">
      <c r="B138" s="139"/>
      <c r="C138" s="139"/>
      <c r="D138" s="140"/>
      <c r="E138" s="36" t="s">
        <v>6</v>
      </c>
      <c r="F138" s="36" t="s">
        <v>7</v>
      </c>
      <c r="G138" s="36" t="s">
        <v>8</v>
      </c>
      <c r="H138" s="138"/>
      <c r="I138" s="36" t="s">
        <v>9</v>
      </c>
      <c r="J138" s="36" t="s">
        <v>10</v>
      </c>
      <c r="K138" s="36" t="s">
        <v>11</v>
      </c>
      <c r="L138" s="36" t="s">
        <v>12</v>
      </c>
    </row>
    <row r="139" spans="1:12" ht="18" customHeight="1">
      <c r="A139" s="35">
        <v>5</v>
      </c>
      <c r="B139" s="138" t="s">
        <v>205</v>
      </c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</row>
    <row r="140" spans="1:12" ht="34.9" customHeight="1">
      <c r="A140" s="35">
        <v>5</v>
      </c>
      <c r="B140" s="36" t="s">
        <v>109</v>
      </c>
      <c r="C140" s="22" t="s">
        <v>110</v>
      </c>
      <c r="D140" s="129" t="s">
        <v>111</v>
      </c>
      <c r="E140" s="39">
        <v>5.16</v>
      </c>
      <c r="F140" s="39">
        <v>8.4700000000000006</v>
      </c>
      <c r="G140" s="39">
        <v>9.86</v>
      </c>
      <c r="H140" s="39">
        <v>136.30000000000001</v>
      </c>
      <c r="I140" s="39">
        <v>0.17</v>
      </c>
      <c r="J140" s="39">
        <v>12</v>
      </c>
      <c r="K140" s="39">
        <v>25.7</v>
      </c>
      <c r="L140" s="39">
        <v>1</v>
      </c>
    </row>
    <row r="141" spans="1:12" ht="18" customHeight="1">
      <c r="A141" s="35">
        <v>5</v>
      </c>
      <c r="B141" s="69" t="s">
        <v>112</v>
      </c>
      <c r="C141" s="64" t="s">
        <v>90</v>
      </c>
      <c r="D141" s="129" t="s">
        <v>113</v>
      </c>
      <c r="E141" s="68">
        <v>0.01</v>
      </c>
      <c r="F141" s="68">
        <v>0.01</v>
      </c>
      <c r="G141" s="68">
        <v>4.99</v>
      </c>
      <c r="H141" s="68">
        <v>19.95</v>
      </c>
      <c r="I141" s="68">
        <v>0.02</v>
      </c>
      <c r="J141" s="68">
        <v>7.94</v>
      </c>
      <c r="K141" s="68">
        <v>0.9</v>
      </c>
      <c r="L141" s="68">
        <v>0.18</v>
      </c>
    </row>
    <row r="142" spans="1:12" s="65" customFormat="1" ht="18" customHeight="1">
      <c r="B142" s="66"/>
      <c r="C142" s="66" t="s">
        <v>14</v>
      </c>
      <c r="D142" s="67">
        <v>325</v>
      </c>
      <c r="E142" s="66">
        <f t="shared" ref="E142:L142" si="31">SUM(E140:E141)</f>
        <v>5.17</v>
      </c>
      <c r="F142" s="125">
        <f t="shared" si="31"/>
        <v>8.48</v>
      </c>
      <c r="G142" s="125">
        <f t="shared" si="31"/>
        <v>14.85</v>
      </c>
      <c r="H142" s="125">
        <f t="shared" si="31"/>
        <v>156.25</v>
      </c>
      <c r="I142" s="125">
        <f t="shared" si="31"/>
        <v>0.19</v>
      </c>
      <c r="J142" s="125">
        <f t="shared" si="31"/>
        <v>19.940000000000001</v>
      </c>
      <c r="K142" s="125">
        <f t="shared" si="31"/>
        <v>26.599999999999998</v>
      </c>
      <c r="L142" s="125">
        <f t="shared" si="31"/>
        <v>1.18</v>
      </c>
    </row>
    <row r="143" spans="1:12" s="65" customFormat="1" ht="18" customHeight="1">
      <c r="B143" s="138" t="s">
        <v>206</v>
      </c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</row>
    <row r="144" spans="1:12" s="65" customFormat="1" ht="18" customHeight="1">
      <c r="B144" s="66" t="s">
        <v>114</v>
      </c>
      <c r="C144" s="64" t="s">
        <v>85</v>
      </c>
      <c r="D144" s="67">
        <v>150</v>
      </c>
      <c r="E144" s="68">
        <v>0.75</v>
      </c>
      <c r="F144" s="68">
        <v>0</v>
      </c>
      <c r="G144" s="68">
        <v>15.15</v>
      </c>
      <c r="H144" s="68">
        <v>64</v>
      </c>
      <c r="I144" s="68">
        <v>3</v>
      </c>
      <c r="J144" s="68">
        <v>10.5</v>
      </c>
      <c r="K144" s="68">
        <v>6</v>
      </c>
      <c r="L144" s="68">
        <v>2.1</v>
      </c>
    </row>
    <row r="145" spans="1:12" ht="18" customHeight="1">
      <c r="B145" s="36"/>
      <c r="C145" s="66" t="s">
        <v>14</v>
      </c>
      <c r="D145" s="37">
        <f>D144</f>
        <v>150</v>
      </c>
      <c r="E145" s="66">
        <f>E144</f>
        <v>0.75</v>
      </c>
      <c r="F145" s="110">
        <f t="shared" ref="F145:L145" si="32">F144</f>
        <v>0</v>
      </c>
      <c r="G145" s="110">
        <f t="shared" si="32"/>
        <v>15.15</v>
      </c>
      <c r="H145" s="110">
        <f t="shared" si="32"/>
        <v>64</v>
      </c>
      <c r="I145" s="110">
        <f t="shared" si="32"/>
        <v>3</v>
      </c>
      <c r="J145" s="110">
        <f t="shared" si="32"/>
        <v>10.5</v>
      </c>
      <c r="K145" s="110">
        <f t="shared" si="32"/>
        <v>6</v>
      </c>
      <c r="L145" s="110">
        <f t="shared" si="32"/>
        <v>2.1</v>
      </c>
    </row>
    <row r="146" spans="1:12" ht="18" customHeight="1">
      <c r="A146" s="35">
        <v>5</v>
      </c>
      <c r="B146" s="138" t="s">
        <v>207</v>
      </c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</row>
    <row r="147" spans="1:12" ht="18" customHeight="1">
      <c r="A147" s="35">
        <v>5</v>
      </c>
      <c r="B147" s="58" t="s">
        <v>142</v>
      </c>
      <c r="C147" s="22" t="s">
        <v>143</v>
      </c>
      <c r="D147" s="37">
        <v>40</v>
      </c>
      <c r="E147" s="39">
        <v>0.88</v>
      </c>
      <c r="F147" s="68">
        <v>1.84</v>
      </c>
      <c r="G147" s="68">
        <v>4.3499999999999996</v>
      </c>
      <c r="H147" s="68">
        <v>37.479999999999997</v>
      </c>
      <c r="I147" s="68">
        <v>2</v>
      </c>
      <c r="J147" s="68">
        <v>12.2</v>
      </c>
      <c r="K147" s="68">
        <v>16.5</v>
      </c>
      <c r="L147" s="68">
        <v>0.49</v>
      </c>
    </row>
    <row r="148" spans="1:12" ht="18" customHeight="1">
      <c r="B148" s="69" t="s">
        <v>149</v>
      </c>
      <c r="C148" s="64" t="s">
        <v>198</v>
      </c>
      <c r="D148" s="57">
        <v>180</v>
      </c>
      <c r="E148" s="68">
        <v>1.3</v>
      </c>
      <c r="F148" s="68">
        <v>3.5</v>
      </c>
      <c r="G148" s="68">
        <v>9.1</v>
      </c>
      <c r="H148" s="68">
        <v>73.8</v>
      </c>
      <c r="I148" s="68">
        <v>7.4</v>
      </c>
      <c r="J148" s="68">
        <v>32</v>
      </c>
      <c r="K148" s="68">
        <v>18.899999999999999</v>
      </c>
      <c r="L148" s="68">
        <v>0.85</v>
      </c>
    </row>
    <row r="149" spans="1:12" s="65" customFormat="1" ht="18" customHeight="1">
      <c r="B149" s="69" t="s">
        <v>199</v>
      </c>
      <c r="C149" s="64" t="s">
        <v>200</v>
      </c>
      <c r="D149" s="98">
        <v>60</v>
      </c>
      <c r="E149" s="68">
        <v>8.14</v>
      </c>
      <c r="F149" s="68">
        <v>9</v>
      </c>
      <c r="G149" s="68">
        <v>6.7</v>
      </c>
      <c r="H149" s="68">
        <v>140.30000000000001</v>
      </c>
      <c r="I149" s="68">
        <v>0.3</v>
      </c>
      <c r="J149" s="68">
        <v>9.6999999999999993</v>
      </c>
      <c r="K149" s="68">
        <v>19.600000000000001</v>
      </c>
      <c r="L149" s="68">
        <v>1.1000000000000001</v>
      </c>
    </row>
    <row r="150" spans="1:12" s="65" customFormat="1" ht="18" customHeight="1">
      <c r="B150" s="69" t="s">
        <v>152</v>
      </c>
      <c r="C150" s="64" t="s">
        <v>201</v>
      </c>
      <c r="D150" s="128">
        <v>100</v>
      </c>
      <c r="E150" s="68">
        <v>1.7</v>
      </c>
      <c r="F150" s="68">
        <v>2.7</v>
      </c>
      <c r="G150" s="68">
        <v>13.1</v>
      </c>
      <c r="H150" s="68">
        <v>87</v>
      </c>
      <c r="I150" s="68">
        <v>3.6</v>
      </c>
      <c r="J150" s="68">
        <v>8.9</v>
      </c>
      <c r="K150" s="68">
        <v>19.5</v>
      </c>
      <c r="L150" s="68">
        <v>0.7</v>
      </c>
    </row>
    <row r="151" spans="1:12" ht="18" customHeight="1">
      <c r="B151" s="69" t="s">
        <v>88</v>
      </c>
      <c r="C151" s="64" t="s">
        <v>130</v>
      </c>
      <c r="D151" s="69">
        <v>180</v>
      </c>
      <c r="E151" s="68">
        <v>0.18</v>
      </c>
      <c r="F151" s="68">
        <v>0.09</v>
      </c>
      <c r="G151" s="68">
        <v>10.98</v>
      </c>
      <c r="H151" s="68">
        <v>44.1</v>
      </c>
      <c r="I151" s="68">
        <v>1.44</v>
      </c>
      <c r="J151" s="68">
        <v>5.29</v>
      </c>
      <c r="K151" s="68">
        <v>2.82</v>
      </c>
      <c r="L151" s="68">
        <v>0.7</v>
      </c>
    </row>
    <row r="152" spans="1:12" ht="18" customHeight="1">
      <c r="B152" s="58"/>
      <c r="C152" s="112" t="s">
        <v>14</v>
      </c>
      <c r="D152" s="37">
        <f t="shared" ref="D152:L152" si="33">SUM(D147:D151)</f>
        <v>560</v>
      </c>
      <c r="E152" s="66">
        <f t="shared" si="33"/>
        <v>12.2</v>
      </c>
      <c r="F152" s="110">
        <f t="shared" si="33"/>
        <v>17.13</v>
      </c>
      <c r="G152" s="110">
        <f t="shared" si="33"/>
        <v>44.230000000000004</v>
      </c>
      <c r="H152" s="110">
        <f t="shared" si="33"/>
        <v>382.68000000000006</v>
      </c>
      <c r="I152" s="110">
        <f t="shared" si="33"/>
        <v>14.74</v>
      </c>
      <c r="J152" s="110">
        <f t="shared" si="33"/>
        <v>68.09</v>
      </c>
      <c r="K152" s="110">
        <f t="shared" si="33"/>
        <v>77.319999999999993</v>
      </c>
      <c r="L152" s="110">
        <f t="shared" si="33"/>
        <v>3.84</v>
      </c>
    </row>
    <row r="153" spans="1:12" ht="18" customHeight="1">
      <c r="A153" s="35">
        <v>5</v>
      </c>
      <c r="B153" s="138" t="s">
        <v>208</v>
      </c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</row>
    <row r="154" spans="1:12" s="65" customFormat="1" ht="21" customHeight="1">
      <c r="B154" s="83" t="s">
        <v>124</v>
      </c>
      <c r="C154" s="64" t="s">
        <v>202</v>
      </c>
      <c r="D154" s="69">
        <v>60</v>
      </c>
      <c r="E154" s="68">
        <v>0.41</v>
      </c>
      <c r="F154" s="68">
        <v>0.3</v>
      </c>
      <c r="G154" s="68">
        <v>10.5</v>
      </c>
      <c r="H154" s="68">
        <v>46.7</v>
      </c>
      <c r="I154" s="68">
        <v>2.7</v>
      </c>
      <c r="J154" s="68">
        <v>13.1</v>
      </c>
      <c r="K154" s="68">
        <v>8.9</v>
      </c>
      <c r="L154" s="68">
        <v>1.56</v>
      </c>
    </row>
    <row r="155" spans="1:12" s="65" customFormat="1" ht="18" customHeight="1">
      <c r="B155" s="83"/>
      <c r="C155" s="112" t="s">
        <v>14</v>
      </c>
      <c r="D155" s="69">
        <f t="shared" ref="D155:L155" si="34">SUM(D154)</f>
        <v>60</v>
      </c>
      <c r="E155" s="83">
        <f t="shared" si="34"/>
        <v>0.41</v>
      </c>
      <c r="F155" s="83">
        <f t="shared" si="34"/>
        <v>0.3</v>
      </c>
      <c r="G155" s="83">
        <f t="shared" si="34"/>
        <v>10.5</v>
      </c>
      <c r="H155" s="83">
        <f t="shared" si="34"/>
        <v>46.7</v>
      </c>
      <c r="I155" s="83">
        <f t="shared" si="34"/>
        <v>2.7</v>
      </c>
      <c r="J155" s="83">
        <f t="shared" si="34"/>
        <v>13.1</v>
      </c>
      <c r="K155" s="83">
        <f t="shared" si="34"/>
        <v>8.9</v>
      </c>
      <c r="L155" s="83">
        <f t="shared" si="34"/>
        <v>1.56</v>
      </c>
    </row>
    <row r="156" spans="1:12" s="65" customFormat="1" ht="18" customHeight="1">
      <c r="B156" s="135" t="s">
        <v>209</v>
      </c>
      <c r="C156" s="136"/>
      <c r="D156" s="136"/>
      <c r="E156" s="136"/>
      <c r="F156" s="136"/>
      <c r="G156" s="136"/>
      <c r="H156" s="136"/>
      <c r="I156" s="136"/>
      <c r="J156" s="136"/>
      <c r="K156" s="136"/>
      <c r="L156" s="137"/>
    </row>
    <row r="157" spans="1:12" s="65" customFormat="1" ht="16.149999999999999" customHeight="1">
      <c r="B157" s="130" t="s">
        <v>150</v>
      </c>
      <c r="C157" s="64" t="s">
        <v>259</v>
      </c>
      <c r="D157" s="69">
        <v>60</v>
      </c>
      <c r="E157" s="68">
        <v>10.6</v>
      </c>
      <c r="F157" s="68">
        <v>7.4</v>
      </c>
      <c r="G157" s="68">
        <v>1.1000000000000001</v>
      </c>
      <c r="H157" s="68">
        <v>113.4</v>
      </c>
      <c r="I157" s="68">
        <v>0.86</v>
      </c>
      <c r="J157" s="68">
        <v>11.5</v>
      </c>
      <c r="K157" s="68">
        <v>10.7</v>
      </c>
      <c r="L157" s="68">
        <v>0.7</v>
      </c>
    </row>
    <row r="158" spans="1:12" s="65" customFormat="1" ht="18" customHeight="1">
      <c r="B158" s="110" t="s">
        <v>128</v>
      </c>
      <c r="C158" s="64" t="s">
        <v>203</v>
      </c>
      <c r="D158" s="69">
        <v>100</v>
      </c>
      <c r="E158" s="68">
        <v>2.1</v>
      </c>
      <c r="F158" s="68">
        <v>1.9</v>
      </c>
      <c r="G158" s="68">
        <v>8</v>
      </c>
      <c r="H158" s="68">
        <v>62</v>
      </c>
      <c r="I158" s="68">
        <v>20.8</v>
      </c>
      <c r="J158" s="68">
        <v>54</v>
      </c>
      <c r="K158" s="68">
        <v>31</v>
      </c>
      <c r="L158" s="68">
        <v>0.7</v>
      </c>
    </row>
    <row r="159" spans="1:12" s="65" customFormat="1" ht="18" customHeight="1">
      <c r="B159" s="127" t="s">
        <v>123</v>
      </c>
      <c r="C159" s="64" t="s">
        <v>84</v>
      </c>
      <c r="D159" s="128">
        <v>180</v>
      </c>
      <c r="E159" s="68">
        <v>0.4</v>
      </c>
      <c r="F159" s="68">
        <v>0.02</v>
      </c>
      <c r="G159" s="68">
        <v>19</v>
      </c>
      <c r="H159" s="68">
        <v>77.7</v>
      </c>
      <c r="I159" s="68">
        <v>0.36</v>
      </c>
      <c r="J159" s="68">
        <v>28.54</v>
      </c>
      <c r="K159" s="68">
        <v>5.4</v>
      </c>
      <c r="L159" s="68">
        <v>1.1100000000000001</v>
      </c>
    </row>
    <row r="160" spans="1:12" s="65" customFormat="1" ht="18" customHeight="1">
      <c r="B160" s="69" t="s">
        <v>262</v>
      </c>
      <c r="C160" s="64" t="s">
        <v>264</v>
      </c>
      <c r="D160" s="131">
        <v>120</v>
      </c>
      <c r="E160" s="68">
        <v>0.48</v>
      </c>
      <c r="F160" s="68">
        <v>0.48</v>
      </c>
      <c r="G160" s="68">
        <v>11.76</v>
      </c>
      <c r="H160" s="68">
        <v>56</v>
      </c>
      <c r="I160" s="68">
        <v>12</v>
      </c>
      <c r="J160" s="68">
        <v>19.2</v>
      </c>
      <c r="K160" s="68">
        <v>10.8</v>
      </c>
      <c r="L160" s="68">
        <v>2.64</v>
      </c>
    </row>
    <row r="161" spans="1:12" ht="18" customHeight="1">
      <c r="A161" s="35">
        <v>5</v>
      </c>
      <c r="B161" s="110"/>
      <c r="C161" s="110" t="s">
        <v>14</v>
      </c>
      <c r="D161" s="111">
        <f t="shared" ref="D161:L161" si="35">SUM(D157:D160)</f>
        <v>460</v>
      </c>
      <c r="E161" s="110">
        <f t="shared" si="35"/>
        <v>13.58</v>
      </c>
      <c r="F161" s="110">
        <f t="shared" si="35"/>
        <v>9.8000000000000007</v>
      </c>
      <c r="G161" s="110">
        <f t="shared" si="35"/>
        <v>39.86</v>
      </c>
      <c r="H161" s="110">
        <f t="shared" si="35"/>
        <v>309.10000000000002</v>
      </c>
      <c r="I161" s="110">
        <f t="shared" si="35"/>
        <v>34.019999999999996</v>
      </c>
      <c r="J161" s="110">
        <f t="shared" si="35"/>
        <v>113.24</v>
      </c>
      <c r="K161" s="110">
        <f t="shared" si="35"/>
        <v>57.900000000000006</v>
      </c>
      <c r="L161" s="110">
        <f t="shared" si="35"/>
        <v>5.15</v>
      </c>
    </row>
    <row r="162" spans="1:12" ht="18" customHeight="1">
      <c r="A162" s="35">
        <v>5</v>
      </c>
      <c r="B162" s="110"/>
      <c r="C162" s="110" t="s">
        <v>20</v>
      </c>
      <c r="D162" s="128">
        <f>D142+D145+D152+D155+D161</f>
        <v>1555</v>
      </c>
      <c r="E162" s="110">
        <f t="shared" ref="E162:L162" si="36">E142+E145+E152+E155+E161</f>
        <v>32.11</v>
      </c>
      <c r="F162" s="110">
        <f t="shared" si="36"/>
        <v>35.71</v>
      </c>
      <c r="G162" s="110">
        <f t="shared" si="36"/>
        <v>124.59</v>
      </c>
      <c r="H162" s="110">
        <f>H142+H145+H152+H155+H161</f>
        <v>958.73000000000013</v>
      </c>
      <c r="I162" s="110">
        <f t="shared" si="36"/>
        <v>54.649999999999991</v>
      </c>
      <c r="J162" s="110">
        <f t="shared" si="36"/>
        <v>224.87</v>
      </c>
      <c r="K162" s="110">
        <f t="shared" si="36"/>
        <v>176.72</v>
      </c>
      <c r="L162" s="110">
        <f t="shared" si="36"/>
        <v>13.83</v>
      </c>
    </row>
    <row r="163" spans="1:12" s="65" customFormat="1" ht="20.100000000000001" customHeight="1">
      <c r="B163" s="121"/>
      <c r="C163" s="121" t="s">
        <v>93</v>
      </c>
      <c r="D163" s="122"/>
      <c r="E163" s="121">
        <v>42</v>
      </c>
      <c r="F163" s="121">
        <v>47</v>
      </c>
      <c r="G163" s="121">
        <v>203</v>
      </c>
      <c r="H163" s="121">
        <v>1400</v>
      </c>
      <c r="I163" s="121">
        <v>45</v>
      </c>
      <c r="J163" s="121">
        <v>800</v>
      </c>
      <c r="K163" s="121">
        <v>80</v>
      </c>
      <c r="L163" s="121">
        <v>10</v>
      </c>
    </row>
    <row r="164" spans="1:12" s="65" customFormat="1" ht="20.100000000000001" customHeight="1">
      <c r="B164" s="123"/>
      <c r="C164" s="123" t="s">
        <v>94</v>
      </c>
      <c r="D164" s="124"/>
      <c r="E164" s="123">
        <f>ROUND(E162/E163*100-100,2)</f>
        <v>-23.55</v>
      </c>
      <c r="F164" s="123">
        <f t="shared" ref="F164:L164" si="37">ROUND(F162/F163*100-100,2)</f>
        <v>-24.02</v>
      </c>
      <c r="G164" s="123">
        <f t="shared" si="37"/>
        <v>-38.630000000000003</v>
      </c>
      <c r="H164" s="123">
        <f t="shared" si="37"/>
        <v>-31.52</v>
      </c>
      <c r="I164" s="123">
        <f t="shared" si="37"/>
        <v>21.44</v>
      </c>
      <c r="J164" s="123">
        <f t="shared" si="37"/>
        <v>-71.89</v>
      </c>
      <c r="K164" s="123">
        <f t="shared" si="37"/>
        <v>120.9</v>
      </c>
      <c r="L164" s="123">
        <f t="shared" si="37"/>
        <v>38.299999999999997</v>
      </c>
    </row>
    <row r="165" spans="1:12" s="30" customFormat="1" ht="20.100000000000001" customHeight="1">
      <c r="B165" s="31" t="s">
        <v>69</v>
      </c>
      <c r="C165" s="32"/>
      <c r="D165" s="41"/>
      <c r="E165" s="42"/>
      <c r="F165" s="42"/>
      <c r="G165" s="42"/>
      <c r="H165" s="42"/>
      <c r="I165" s="42"/>
      <c r="J165" s="42"/>
      <c r="K165" s="42"/>
      <c r="L165" s="42"/>
    </row>
    <row r="166" spans="1:12" s="30" customFormat="1" ht="20.100000000000001" customHeight="1">
      <c r="B166" s="31" t="s">
        <v>70</v>
      </c>
      <c r="C166" s="32"/>
      <c r="D166" s="41"/>
      <c r="E166" s="42"/>
      <c r="F166" s="42"/>
      <c r="G166" s="42"/>
      <c r="H166" s="42"/>
      <c r="I166" s="42"/>
      <c r="J166" s="42"/>
      <c r="K166" s="42"/>
      <c r="L166" s="42"/>
    </row>
    <row r="167" spans="1:12" s="30" customFormat="1" ht="20.100000000000001" customHeight="1">
      <c r="B167" s="31" t="s">
        <v>95</v>
      </c>
      <c r="C167" s="32"/>
      <c r="D167" s="41"/>
      <c r="E167" s="42"/>
      <c r="F167" s="42"/>
      <c r="G167" s="42"/>
      <c r="H167" s="42"/>
      <c r="I167" s="42"/>
      <c r="J167" s="42"/>
      <c r="K167" s="42"/>
      <c r="L167" s="42"/>
    </row>
    <row r="168" spans="1:12" s="30" customFormat="1" ht="20.100000000000001" hidden="1" customHeight="1">
      <c r="B168" s="40"/>
      <c r="C168" s="40"/>
      <c r="D168" s="41"/>
      <c r="E168" s="42"/>
      <c r="F168" s="42"/>
      <c r="G168" s="42"/>
      <c r="H168" s="42"/>
      <c r="I168" s="42"/>
      <c r="J168" s="42"/>
      <c r="K168" s="42"/>
      <c r="L168" s="42"/>
    </row>
    <row r="169" spans="1:12" s="30" customFormat="1" ht="35.25" customHeight="1">
      <c r="B169" s="147" t="s">
        <v>0</v>
      </c>
      <c r="C169" s="147" t="s">
        <v>1</v>
      </c>
      <c r="D169" s="141" t="s">
        <v>2</v>
      </c>
      <c r="E169" s="135" t="s">
        <v>3</v>
      </c>
      <c r="F169" s="136"/>
      <c r="G169" s="137"/>
      <c r="H169" s="143" t="s">
        <v>4</v>
      </c>
      <c r="I169" s="110"/>
      <c r="J169" s="135" t="s">
        <v>5</v>
      </c>
      <c r="K169" s="136"/>
      <c r="L169" s="137"/>
    </row>
    <row r="170" spans="1:12" s="30" customFormat="1" ht="31.5" customHeight="1">
      <c r="B170" s="148"/>
      <c r="C170" s="148"/>
      <c r="D170" s="142"/>
      <c r="E170" s="110" t="s">
        <v>6</v>
      </c>
      <c r="F170" s="110" t="s">
        <v>7</v>
      </c>
      <c r="G170" s="110" t="s">
        <v>8</v>
      </c>
      <c r="H170" s="144"/>
      <c r="I170" s="110" t="s">
        <v>9</v>
      </c>
      <c r="J170" s="110" t="s">
        <v>10</v>
      </c>
      <c r="K170" s="110" t="s">
        <v>11</v>
      </c>
      <c r="L170" s="110" t="s">
        <v>12</v>
      </c>
    </row>
    <row r="171" spans="1:12" ht="20.100000000000001" customHeight="1">
      <c r="A171" s="35">
        <v>6</v>
      </c>
      <c r="B171" s="138" t="s">
        <v>220</v>
      </c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  <row r="172" spans="1:12" ht="30" customHeight="1">
      <c r="A172" s="35">
        <v>6</v>
      </c>
      <c r="B172" s="58" t="s">
        <v>109</v>
      </c>
      <c r="C172" s="22" t="s">
        <v>210</v>
      </c>
      <c r="D172" s="129" t="s">
        <v>111</v>
      </c>
      <c r="E172" s="38">
        <v>5.19</v>
      </c>
      <c r="F172" s="38">
        <v>8</v>
      </c>
      <c r="G172" s="38">
        <v>9.58</v>
      </c>
      <c r="H172" s="38">
        <v>131</v>
      </c>
      <c r="I172" s="38">
        <v>0.17</v>
      </c>
      <c r="J172" s="38">
        <v>6.07</v>
      </c>
      <c r="K172" s="38">
        <v>37.200000000000003</v>
      </c>
      <c r="L172" s="38">
        <v>1.33</v>
      </c>
    </row>
    <row r="173" spans="1:12" ht="18" customHeight="1">
      <c r="A173" s="35">
        <v>6</v>
      </c>
      <c r="B173" s="69" t="s">
        <v>112</v>
      </c>
      <c r="C173" s="64" t="s">
        <v>90</v>
      </c>
      <c r="D173" s="129" t="s">
        <v>113</v>
      </c>
      <c r="E173" s="68">
        <v>0.01</v>
      </c>
      <c r="F173" s="68">
        <v>0.01</v>
      </c>
      <c r="G173" s="68">
        <v>4.99</v>
      </c>
      <c r="H173" s="68">
        <v>19.95</v>
      </c>
      <c r="I173" s="68">
        <v>0.02</v>
      </c>
      <c r="J173" s="68">
        <v>7.94</v>
      </c>
      <c r="K173" s="68">
        <v>0.9</v>
      </c>
      <c r="L173" s="68">
        <v>0.18</v>
      </c>
    </row>
    <row r="174" spans="1:12" s="65" customFormat="1" ht="18" customHeight="1">
      <c r="A174" s="65">
        <v>6</v>
      </c>
      <c r="B174" s="70"/>
      <c r="C174" s="70" t="s">
        <v>14</v>
      </c>
      <c r="D174" s="75">
        <v>325</v>
      </c>
      <c r="E174" s="70">
        <f t="shared" ref="E174:L174" si="38">SUM(E172:E173)</f>
        <v>5.2</v>
      </c>
      <c r="F174" s="85">
        <f t="shared" si="38"/>
        <v>8.01</v>
      </c>
      <c r="G174" s="85">
        <f t="shared" si="38"/>
        <v>14.57</v>
      </c>
      <c r="H174" s="85">
        <f t="shared" si="38"/>
        <v>150.94999999999999</v>
      </c>
      <c r="I174" s="85">
        <f t="shared" si="38"/>
        <v>0.19</v>
      </c>
      <c r="J174" s="85">
        <f t="shared" si="38"/>
        <v>14.010000000000002</v>
      </c>
      <c r="K174" s="85">
        <f t="shared" si="38"/>
        <v>38.1</v>
      </c>
      <c r="L174" s="85">
        <f t="shared" si="38"/>
        <v>1.51</v>
      </c>
    </row>
    <row r="175" spans="1:12" s="65" customFormat="1" ht="18" customHeight="1">
      <c r="B175" s="135" t="s">
        <v>221</v>
      </c>
      <c r="C175" s="136"/>
      <c r="D175" s="136"/>
      <c r="E175" s="136"/>
      <c r="F175" s="136"/>
      <c r="G175" s="136"/>
      <c r="H175" s="136"/>
      <c r="I175" s="136"/>
      <c r="J175" s="136"/>
      <c r="K175" s="136"/>
      <c r="L175" s="137"/>
    </row>
    <row r="176" spans="1:12" s="65" customFormat="1" ht="18" customHeight="1">
      <c r="B176" s="70" t="s">
        <v>262</v>
      </c>
      <c r="C176" s="64" t="s">
        <v>264</v>
      </c>
      <c r="D176" s="71">
        <v>120</v>
      </c>
      <c r="E176" s="38">
        <v>0.48</v>
      </c>
      <c r="F176" s="38">
        <v>0.48</v>
      </c>
      <c r="G176" s="38">
        <v>11.76</v>
      </c>
      <c r="H176" s="38">
        <v>56</v>
      </c>
      <c r="I176" s="38">
        <v>12</v>
      </c>
      <c r="J176" s="38">
        <v>19.2</v>
      </c>
      <c r="K176" s="38">
        <v>10.8</v>
      </c>
      <c r="L176" s="38">
        <v>2.64</v>
      </c>
    </row>
    <row r="177" spans="1:12" s="65" customFormat="1" ht="18" customHeight="1">
      <c r="B177" s="70"/>
      <c r="C177" s="112" t="s">
        <v>14</v>
      </c>
      <c r="D177" s="71">
        <f>D176</f>
        <v>120</v>
      </c>
      <c r="E177" s="51">
        <f>E176</f>
        <v>0.48</v>
      </c>
      <c r="F177" s="51">
        <f t="shared" ref="F177:L177" si="39">F176</f>
        <v>0.48</v>
      </c>
      <c r="G177" s="51">
        <f t="shared" si="39"/>
        <v>11.76</v>
      </c>
      <c r="H177" s="51">
        <f t="shared" si="39"/>
        <v>56</v>
      </c>
      <c r="I177" s="51">
        <f t="shared" si="39"/>
        <v>12</v>
      </c>
      <c r="J177" s="51">
        <f t="shared" si="39"/>
        <v>19.2</v>
      </c>
      <c r="K177" s="51">
        <f t="shared" si="39"/>
        <v>10.8</v>
      </c>
      <c r="L177" s="51">
        <f t="shared" si="39"/>
        <v>2.64</v>
      </c>
    </row>
    <row r="178" spans="1:12" ht="18" customHeight="1">
      <c r="A178" s="35">
        <v>6</v>
      </c>
      <c r="B178" s="146" t="s">
        <v>222</v>
      </c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</row>
    <row r="179" spans="1:12" ht="18" customHeight="1">
      <c r="A179" s="35">
        <v>6</v>
      </c>
      <c r="B179" s="47" t="s">
        <v>155</v>
      </c>
      <c r="C179" s="48" t="s">
        <v>83</v>
      </c>
      <c r="D179" s="49">
        <v>40</v>
      </c>
      <c r="E179" s="39">
        <v>0.56000000000000005</v>
      </c>
      <c r="F179" s="68">
        <v>2.0299999999999998</v>
      </c>
      <c r="G179" s="68">
        <v>3.6</v>
      </c>
      <c r="H179" s="68">
        <v>34.96</v>
      </c>
      <c r="I179" s="68">
        <v>12.98</v>
      </c>
      <c r="J179" s="68">
        <v>14.95</v>
      </c>
      <c r="K179" s="68">
        <v>6.06</v>
      </c>
      <c r="L179" s="68">
        <v>0.2</v>
      </c>
    </row>
    <row r="180" spans="1:12" ht="18" customHeight="1">
      <c r="B180" s="47" t="s">
        <v>178</v>
      </c>
      <c r="C180" s="48" t="s">
        <v>179</v>
      </c>
      <c r="D180" s="49">
        <v>40</v>
      </c>
      <c r="E180" s="68">
        <v>0.4</v>
      </c>
      <c r="F180" s="68">
        <v>2.4</v>
      </c>
      <c r="G180" s="68">
        <v>1.2</v>
      </c>
      <c r="H180" s="68">
        <v>29</v>
      </c>
      <c r="I180" s="68">
        <v>6.4</v>
      </c>
      <c r="J180" s="68">
        <v>7.5</v>
      </c>
      <c r="K180" s="68">
        <v>6.3</v>
      </c>
      <c r="L180" s="68">
        <v>0.3</v>
      </c>
    </row>
    <row r="181" spans="1:12" s="65" customFormat="1" ht="18" customHeight="1">
      <c r="B181" s="47"/>
      <c r="C181" s="48" t="s">
        <v>39</v>
      </c>
      <c r="D181" s="49"/>
      <c r="E181" s="102">
        <f>SUM(E179:E180)/2</f>
        <v>0.48000000000000004</v>
      </c>
      <c r="F181" s="102">
        <f t="shared" ref="F181" si="40">SUM(F179:F180)/2</f>
        <v>2.2149999999999999</v>
      </c>
      <c r="G181" s="102">
        <f t="shared" ref="G181" si="41">SUM(G179:G180)/2</f>
        <v>2.4</v>
      </c>
      <c r="H181" s="102">
        <f t="shared" ref="H181" si="42">SUM(H179:H180)/2</f>
        <v>31.98</v>
      </c>
      <c r="I181" s="102">
        <f t="shared" ref="I181" si="43">SUM(I179:I180)/2</f>
        <v>9.6900000000000013</v>
      </c>
      <c r="J181" s="102">
        <f t="shared" ref="J181" si="44">SUM(J179:J180)/2</f>
        <v>11.225</v>
      </c>
      <c r="K181" s="102">
        <f t="shared" ref="K181" si="45">SUM(K179:K180)/2</f>
        <v>6.18</v>
      </c>
      <c r="L181" s="102">
        <f t="shared" ref="L181" si="46">SUM(L179:L180)/2</f>
        <v>0.25</v>
      </c>
    </row>
    <row r="182" spans="1:12" ht="18" customHeight="1">
      <c r="B182" s="47" t="s">
        <v>211</v>
      </c>
      <c r="C182" s="48" t="s">
        <v>212</v>
      </c>
      <c r="D182" s="49">
        <v>200</v>
      </c>
      <c r="E182" s="68">
        <v>1.18</v>
      </c>
      <c r="F182" s="68">
        <v>3.93</v>
      </c>
      <c r="G182" s="68">
        <v>4.87</v>
      </c>
      <c r="H182" s="68">
        <v>61</v>
      </c>
      <c r="I182" s="68">
        <v>7.9</v>
      </c>
      <c r="J182" s="68">
        <v>28.7</v>
      </c>
      <c r="K182" s="68">
        <v>11.34</v>
      </c>
      <c r="L182" s="68">
        <v>0.46</v>
      </c>
    </row>
    <row r="183" spans="1:12" s="65" customFormat="1" ht="18" customHeight="1">
      <c r="B183" s="47" t="s">
        <v>119</v>
      </c>
      <c r="C183" s="48" t="s">
        <v>213</v>
      </c>
      <c r="D183" s="49">
        <v>60</v>
      </c>
      <c r="E183" s="68">
        <v>6.45</v>
      </c>
      <c r="F183" s="68">
        <v>16.899999999999999</v>
      </c>
      <c r="G183" s="68">
        <v>0.92</v>
      </c>
      <c r="H183" s="68">
        <v>182.1</v>
      </c>
      <c r="I183" s="68">
        <v>1.1000000000000001</v>
      </c>
      <c r="J183" s="68">
        <v>6.6</v>
      </c>
      <c r="K183" s="68">
        <v>12.1</v>
      </c>
      <c r="L183" s="68">
        <v>0.84</v>
      </c>
    </row>
    <row r="184" spans="1:12" s="65" customFormat="1" ht="18" customHeight="1">
      <c r="B184" s="47" t="s">
        <v>214</v>
      </c>
      <c r="C184" s="48" t="s">
        <v>215</v>
      </c>
      <c r="D184" s="49">
        <v>110</v>
      </c>
      <c r="E184" s="68">
        <v>1.47</v>
      </c>
      <c r="F184" s="68">
        <v>0.3</v>
      </c>
      <c r="G184" s="68">
        <v>13</v>
      </c>
      <c r="H184" s="68">
        <v>60.5</v>
      </c>
      <c r="I184" s="68">
        <v>2.9</v>
      </c>
      <c r="J184" s="68">
        <v>10.8</v>
      </c>
      <c r="K184" s="68">
        <v>20.6</v>
      </c>
      <c r="L184" s="68">
        <v>1.7</v>
      </c>
    </row>
    <row r="185" spans="1:12" ht="18" customHeight="1">
      <c r="B185" s="47" t="s">
        <v>88</v>
      </c>
      <c r="C185" s="48" t="s">
        <v>204</v>
      </c>
      <c r="D185" s="49">
        <v>180</v>
      </c>
      <c r="E185" s="68">
        <v>0.18</v>
      </c>
      <c r="F185" s="68">
        <v>0.09</v>
      </c>
      <c r="G185" s="68">
        <v>10.98</v>
      </c>
      <c r="H185" s="68">
        <v>44.1</v>
      </c>
      <c r="I185" s="68">
        <v>1.44</v>
      </c>
      <c r="J185" s="68">
        <v>5.29</v>
      </c>
      <c r="K185" s="68">
        <v>2.82</v>
      </c>
      <c r="L185" s="68">
        <v>0.7</v>
      </c>
    </row>
    <row r="186" spans="1:12" ht="18" customHeight="1">
      <c r="A186" s="35">
        <v>6</v>
      </c>
      <c r="B186" s="47"/>
      <c r="C186" s="112" t="s">
        <v>14</v>
      </c>
      <c r="D186" s="49">
        <v>590</v>
      </c>
      <c r="E186" s="85">
        <f t="shared" ref="E186:L186" si="47">SUM(E181:E185)</f>
        <v>9.76</v>
      </c>
      <c r="F186" s="102">
        <f t="shared" si="47"/>
        <v>23.434999999999999</v>
      </c>
      <c r="G186" s="102">
        <f t="shared" si="47"/>
        <v>32.17</v>
      </c>
      <c r="H186" s="102">
        <f t="shared" si="47"/>
        <v>379.68</v>
      </c>
      <c r="I186" s="102">
        <f t="shared" si="47"/>
        <v>23.030000000000005</v>
      </c>
      <c r="J186" s="102">
        <f t="shared" si="47"/>
        <v>62.615000000000002</v>
      </c>
      <c r="K186" s="102">
        <f t="shared" si="47"/>
        <v>53.04</v>
      </c>
      <c r="L186" s="102">
        <f t="shared" si="47"/>
        <v>3.95</v>
      </c>
    </row>
    <row r="187" spans="1:12" ht="18" customHeight="1">
      <c r="A187" s="35">
        <v>6</v>
      </c>
      <c r="B187" s="138" t="s">
        <v>223</v>
      </c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</row>
    <row r="188" spans="1:12" s="65" customFormat="1" ht="18" customHeight="1">
      <c r="B188" s="134" t="s">
        <v>268</v>
      </c>
      <c r="C188" s="64" t="s">
        <v>154</v>
      </c>
      <c r="D188" s="69">
        <v>100</v>
      </c>
      <c r="E188" s="68">
        <v>0.6</v>
      </c>
      <c r="F188" s="68">
        <v>0.1</v>
      </c>
      <c r="G188" s="68">
        <v>5.5</v>
      </c>
      <c r="H188" s="68">
        <v>26</v>
      </c>
      <c r="I188" s="68">
        <v>2.19</v>
      </c>
      <c r="J188" s="68">
        <v>14</v>
      </c>
      <c r="K188" s="68">
        <v>15</v>
      </c>
      <c r="L188" s="68">
        <v>0.92</v>
      </c>
    </row>
    <row r="189" spans="1:12" s="65" customFormat="1" ht="18" customHeight="1">
      <c r="B189" s="85"/>
      <c r="C189" s="112" t="s">
        <v>14</v>
      </c>
      <c r="D189" s="69">
        <f t="shared" ref="D189:L189" si="48">SUM(D188)</f>
        <v>100</v>
      </c>
      <c r="E189" s="85">
        <f t="shared" si="48"/>
        <v>0.6</v>
      </c>
      <c r="F189" s="125">
        <f t="shared" si="48"/>
        <v>0.1</v>
      </c>
      <c r="G189" s="125">
        <f t="shared" si="48"/>
        <v>5.5</v>
      </c>
      <c r="H189" s="125">
        <f t="shared" si="48"/>
        <v>26</v>
      </c>
      <c r="I189" s="125">
        <f t="shared" si="48"/>
        <v>2.19</v>
      </c>
      <c r="J189" s="125">
        <f t="shared" si="48"/>
        <v>14</v>
      </c>
      <c r="K189" s="125">
        <f t="shared" si="48"/>
        <v>15</v>
      </c>
      <c r="L189" s="125">
        <f t="shared" si="48"/>
        <v>0.92</v>
      </c>
    </row>
    <row r="190" spans="1:12" s="65" customFormat="1" ht="18" customHeight="1">
      <c r="B190" s="135" t="s">
        <v>224</v>
      </c>
      <c r="C190" s="136"/>
      <c r="D190" s="136"/>
      <c r="E190" s="136"/>
      <c r="F190" s="136"/>
      <c r="G190" s="136"/>
      <c r="H190" s="136"/>
      <c r="I190" s="136"/>
      <c r="J190" s="136"/>
      <c r="K190" s="136"/>
      <c r="L190" s="137"/>
    </row>
    <row r="191" spans="1:12" ht="18" customHeight="1">
      <c r="A191" s="35">
        <v>6</v>
      </c>
      <c r="B191" s="36" t="s">
        <v>216</v>
      </c>
      <c r="C191" s="22" t="s">
        <v>217</v>
      </c>
      <c r="D191" s="69">
        <v>60</v>
      </c>
      <c r="E191" s="68">
        <v>7.98</v>
      </c>
      <c r="F191" s="68">
        <v>5.24</v>
      </c>
      <c r="G191" s="68">
        <v>2.62</v>
      </c>
      <c r="H191" s="68">
        <v>89.5</v>
      </c>
      <c r="I191" s="68">
        <v>0.86</v>
      </c>
      <c r="J191" s="68">
        <v>23</v>
      </c>
      <c r="K191" s="68">
        <v>23.6</v>
      </c>
      <c r="L191" s="68">
        <v>0.46</v>
      </c>
    </row>
    <row r="192" spans="1:12" ht="18" customHeight="1">
      <c r="B192" s="70" t="s">
        <v>218</v>
      </c>
      <c r="C192" s="64" t="s">
        <v>219</v>
      </c>
      <c r="D192" s="37">
        <v>120</v>
      </c>
      <c r="E192" s="68">
        <v>1.1499999999999999</v>
      </c>
      <c r="F192" s="68">
        <v>3.86</v>
      </c>
      <c r="G192" s="68">
        <v>6.81</v>
      </c>
      <c r="H192" s="68">
        <v>66.5</v>
      </c>
      <c r="I192" s="68">
        <v>5.32</v>
      </c>
      <c r="J192" s="68">
        <v>17.3</v>
      </c>
      <c r="K192" s="68">
        <v>15.8</v>
      </c>
      <c r="L192" s="68">
        <v>0.5</v>
      </c>
    </row>
    <row r="193" spans="1:12" s="65" customFormat="1" ht="18" customHeight="1">
      <c r="B193" s="102" t="s">
        <v>114</v>
      </c>
      <c r="C193" s="64" t="s">
        <v>85</v>
      </c>
      <c r="D193" s="128">
        <v>150</v>
      </c>
      <c r="E193" s="68">
        <v>0.75</v>
      </c>
      <c r="F193" s="68">
        <v>0</v>
      </c>
      <c r="G193" s="68">
        <v>15.15</v>
      </c>
      <c r="H193" s="68">
        <v>64</v>
      </c>
      <c r="I193" s="68">
        <v>3</v>
      </c>
      <c r="J193" s="68">
        <v>10.5</v>
      </c>
      <c r="K193" s="68">
        <v>6</v>
      </c>
      <c r="L193" s="68">
        <v>2.1</v>
      </c>
    </row>
    <row r="194" spans="1:12" s="65" customFormat="1" ht="18" customHeight="1">
      <c r="B194" s="69" t="s">
        <v>262</v>
      </c>
      <c r="C194" s="64" t="s">
        <v>260</v>
      </c>
      <c r="D194" s="131">
        <v>120</v>
      </c>
      <c r="E194" s="68">
        <v>0.48</v>
      </c>
      <c r="F194" s="68">
        <v>0.48</v>
      </c>
      <c r="G194" s="68">
        <v>11.76</v>
      </c>
      <c r="H194" s="68">
        <v>56</v>
      </c>
      <c r="I194" s="68">
        <v>12</v>
      </c>
      <c r="J194" s="68">
        <v>19.2</v>
      </c>
      <c r="K194" s="68">
        <v>10.8</v>
      </c>
      <c r="L194" s="68">
        <v>2.64</v>
      </c>
    </row>
    <row r="195" spans="1:12" s="65" customFormat="1" ht="18" customHeight="1">
      <c r="A195" s="65">
        <v>5</v>
      </c>
      <c r="B195" s="132"/>
      <c r="C195" s="132" t="s">
        <v>14</v>
      </c>
      <c r="D195" s="133">
        <f t="shared" ref="D195:L195" si="49">SUM(D191:D194)</f>
        <v>450</v>
      </c>
      <c r="E195" s="132">
        <f t="shared" si="49"/>
        <v>10.360000000000001</v>
      </c>
      <c r="F195" s="132">
        <f t="shared" si="49"/>
        <v>9.58</v>
      </c>
      <c r="G195" s="132">
        <f t="shared" si="49"/>
        <v>36.339999999999996</v>
      </c>
      <c r="H195" s="132">
        <f t="shared" si="49"/>
        <v>276</v>
      </c>
      <c r="I195" s="132">
        <f t="shared" si="49"/>
        <v>21.18</v>
      </c>
      <c r="J195" s="132">
        <f t="shared" si="49"/>
        <v>70</v>
      </c>
      <c r="K195" s="132">
        <f t="shared" si="49"/>
        <v>56.2</v>
      </c>
      <c r="L195" s="132">
        <f t="shared" si="49"/>
        <v>5.7</v>
      </c>
    </row>
    <row r="196" spans="1:12" ht="18" customHeight="1">
      <c r="B196" s="59"/>
      <c r="C196" s="85" t="s">
        <v>21</v>
      </c>
      <c r="D196" s="133">
        <f>D174+D177+D186+D189+D195</f>
        <v>1585</v>
      </c>
      <c r="E196" s="51">
        <f>E174+E177+E186+E195</f>
        <v>25.8</v>
      </c>
      <c r="F196" s="51">
        <f>F174+F177+F186+F195</f>
        <v>41.504999999999995</v>
      </c>
      <c r="G196" s="51">
        <f t="shared" ref="G196:L196" si="50">G174+G177+G186+G195+G189</f>
        <v>100.34</v>
      </c>
      <c r="H196" s="51">
        <f t="shared" si="50"/>
        <v>888.63</v>
      </c>
      <c r="I196" s="51">
        <f t="shared" si="50"/>
        <v>58.59</v>
      </c>
      <c r="J196" s="51">
        <f t="shared" si="50"/>
        <v>179.82499999999999</v>
      </c>
      <c r="K196" s="51">
        <f t="shared" si="50"/>
        <v>173.14</v>
      </c>
      <c r="L196" s="51">
        <f t="shared" si="50"/>
        <v>14.72</v>
      </c>
    </row>
    <row r="197" spans="1:12" s="65" customFormat="1" ht="20.100000000000001" customHeight="1">
      <c r="B197" s="121"/>
      <c r="C197" s="121" t="s">
        <v>93</v>
      </c>
      <c r="D197" s="122"/>
      <c r="E197" s="121">
        <v>42</v>
      </c>
      <c r="F197" s="121">
        <v>47</v>
      </c>
      <c r="G197" s="121">
        <v>203</v>
      </c>
      <c r="H197" s="121">
        <v>1400</v>
      </c>
      <c r="I197" s="121">
        <v>45</v>
      </c>
      <c r="J197" s="121">
        <v>800</v>
      </c>
      <c r="K197" s="121">
        <v>80</v>
      </c>
      <c r="L197" s="121">
        <v>10</v>
      </c>
    </row>
    <row r="198" spans="1:12" s="65" customFormat="1" ht="20.100000000000001" customHeight="1">
      <c r="B198" s="123"/>
      <c r="C198" s="123" t="s">
        <v>94</v>
      </c>
      <c r="D198" s="124"/>
      <c r="E198" s="123">
        <f>ROUND(E196/E197*100-100,2)</f>
        <v>-38.57</v>
      </c>
      <c r="F198" s="123">
        <f t="shared" ref="F198:L198" si="51">ROUND(F196/F197*100-100,2)</f>
        <v>-11.69</v>
      </c>
      <c r="G198" s="123">
        <f t="shared" si="51"/>
        <v>-50.57</v>
      </c>
      <c r="H198" s="123">
        <f t="shared" si="51"/>
        <v>-36.53</v>
      </c>
      <c r="I198" s="123">
        <f t="shared" si="51"/>
        <v>30.2</v>
      </c>
      <c r="J198" s="123">
        <f t="shared" si="51"/>
        <v>-77.52</v>
      </c>
      <c r="K198" s="123">
        <f t="shared" si="51"/>
        <v>116.43</v>
      </c>
      <c r="L198" s="123">
        <f t="shared" si="51"/>
        <v>47.2</v>
      </c>
    </row>
    <row r="199" spans="1:12" s="30" customFormat="1" ht="20.100000000000001" customHeight="1">
      <c r="B199" s="31" t="s">
        <v>71</v>
      </c>
      <c r="C199" s="32"/>
      <c r="D199" s="41"/>
      <c r="E199" s="42"/>
      <c r="F199" s="42"/>
      <c r="G199" s="42"/>
      <c r="H199" s="42"/>
      <c r="I199" s="42"/>
      <c r="J199" s="42"/>
      <c r="K199" s="42"/>
      <c r="L199" s="42"/>
    </row>
    <row r="200" spans="1:12" s="30" customFormat="1" ht="20.100000000000001" customHeight="1">
      <c r="B200" s="31" t="s">
        <v>70</v>
      </c>
      <c r="C200" s="32"/>
      <c r="D200" s="41"/>
      <c r="E200" s="42"/>
      <c r="F200" s="42"/>
      <c r="G200" s="42"/>
      <c r="H200" s="42"/>
      <c r="I200" s="42"/>
      <c r="J200" s="42"/>
      <c r="K200" s="42"/>
      <c r="L200" s="42"/>
    </row>
    <row r="201" spans="1:12" s="30" customFormat="1">
      <c r="B201" s="31" t="s">
        <v>95</v>
      </c>
      <c r="C201" s="32"/>
      <c r="D201" s="33"/>
      <c r="E201" s="34"/>
      <c r="F201" s="34"/>
      <c r="G201" s="34"/>
      <c r="H201" s="34"/>
      <c r="I201" s="34"/>
      <c r="J201" s="34"/>
      <c r="K201" s="34"/>
      <c r="L201" s="34"/>
    </row>
    <row r="202" spans="1:12" s="30" customFormat="1" ht="36.75" customHeight="1">
      <c r="B202" s="139" t="s">
        <v>0</v>
      </c>
      <c r="C202" s="139" t="s">
        <v>1</v>
      </c>
      <c r="D202" s="140" t="s">
        <v>2</v>
      </c>
      <c r="E202" s="138" t="s">
        <v>3</v>
      </c>
      <c r="F202" s="138"/>
      <c r="G202" s="138"/>
      <c r="H202" s="138" t="s">
        <v>4</v>
      </c>
      <c r="I202" s="100"/>
      <c r="J202" s="138" t="s">
        <v>5</v>
      </c>
      <c r="K202" s="138"/>
      <c r="L202" s="138"/>
    </row>
    <row r="203" spans="1:12" s="30" customFormat="1" ht="27" customHeight="1">
      <c r="B203" s="139"/>
      <c r="C203" s="139"/>
      <c r="D203" s="140"/>
      <c r="E203" s="36" t="s">
        <v>6</v>
      </c>
      <c r="F203" s="36" t="s">
        <v>7</v>
      </c>
      <c r="G203" s="36" t="s">
        <v>8</v>
      </c>
      <c r="H203" s="138"/>
      <c r="I203" s="36" t="s">
        <v>9</v>
      </c>
      <c r="J203" s="36" t="s">
        <v>10</v>
      </c>
      <c r="K203" s="36" t="s">
        <v>11</v>
      </c>
      <c r="L203" s="36" t="s">
        <v>12</v>
      </c>
    </row>
    <row r="204" spans="1:12" ht="18" customHeight="1">
      <c r="A204" s="35">
        <v>7</v>
      </c>
      <c r="B204" s="138" t="s">
        <v>232</v>
      </c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</row>
    <row r="205" spans="1:12" ht="33" customHeight="1">
      <c r="A205" s="35">
        <v>7</v>
      </c>
      <c r="B205" s="127" t="s">
        <v>176</v>
      </c>
      <c r="C205" s="64" t="s">
        <v>177</v>
      </c>
      <c r="D205" s="69">
        <v>200</v>
      </c>
      <c r="E205" s="68">
        <v>1.93</v>
      </c>
      <c r="F205" s="68">
        <v>3</v>
      </c>
      <c r="G205" s="68">
        <v>3.6</v>
      </c>
      <c r="H205" s="68">
        <v>49.5</v>
      </c>
      <c r="I205" s="68">
        <v>0</v>
      </c>
      <c r="J205" s="68">
        <v>2.97</v>
      </c>
      <c r="K205" s="68">
        <v>8.85</v>
      </c>
      <c r="L205" s="68">
        <v>0.26</v>
      </c>
    </row>
    <row r="206" spans="1:12" ht="18" customHeight="1">
      <c r="A206" s="35">
        <v>7</v>
      </c>
      <c r="B206" s="69" t="s">
        <v>112</v>
      </c>
      <c r="C206" s="64" t="s">
        <v>90</v>
      </c>
      <c r="D206" s="129" t="s">
        <v>113</v>
      </c>
      <c r="E206" s="68">
        <v>0.01</v>
      </c>
      <c r="F206" s="68">
        <v>0.01</v>
      </c>
      <c r="G206" s="68">
        <v>4.99</v>
      </c>
      <c r="H206" s="68">
        <v>19.95</v>
      </c>
      <c r="I206" s="68">
        <v>0.02</v>
      </c>
      <c r="J206" s="68">
        <v>7.94</v>
      </c>
      <c r="K206" s="68">
        <v>0.9</v>
      </c>
      <c r="L206" s="68">
        <v>0.18</v>
      </c>
    </row>
    <row r="207" spans="1:12" s="65" customFormat="1" ht="18" customHeight="1">
      <c r="A207" s="65">
        <v>7</v>
      </c>
      <c r="B207" s="70"/>
      <c r="C207" s="70" t="s">
        <v>14</v>
      </c>
      <c r="D207" s="71">
        <v>355</v>
      </c>
      <c r="E207" s="70">
        <f t="shared" ref="E207:L207" si="52">SUM(E205:E206)</f>
        <v>1.94</v>
      </c>
      <c r="F207" s="70">
        <f t="shared" si="52"/>
        <v>3.01</v>
      </c>
      <c r="G207" s="70">
        <f t="shared" si="52"/>
        <v>8.59</v>
      </c>
      <c r="H207" s="70">
        <f t="shared" si="52"/>
        <v>69.45</v>
      </c>
      <c r="I207" s="70">
        <f t="shared" si="52"/>
        <v>0.02</v>
      </c>
      <c r="J207" s="70">
        <f t="shared" si="52"/>
        <v>10.91</v>
      </c>
      <c r="K207" s="70">
        <f t="shared" si="52"/>
        <v>9.75</v>
      </c>
      <c r="L207" s="70">
        <f t="shared" si="52"/>
        <v>0.44</v>
      </c>
    </row>
    <row r="208" spans="1:12" s="65" customFormat="1" ht="18" customHeight="1">
      <c r="B208" s="135" t="s">
        <v>221</v>
      </c>
      <c r="C208" s="136"/>
      <c r="D208" s="136"/>
      <c r="E208" s="136"/>
      <c r="F208" s="136"/>
      <c r="G208" s="136"/>
      <c r="H208" s="136"/>
      <c r="I208" s="136"/>
      <c r="J208" s="136"/>
      <c r="K208" s="136"/>
      <c r="L208" s="137"/>
    </row>
    <row r="209" spans="1:12" s="65" customFormat="1" ht="18" customHeight="1">
      <c r="B209" s="127" t="s">
        <v>114</v>
      </c>
      <c r="C209" s="64" t="s">
        <v>85</v>
      </c>
      <c r="D209" s="128">
        <v>150</v>
      </c>
      <c r="E209" s="68">
        <v>0.75</v>
      </c>
      <c r="F209" s="68">
        <v>0</v>
      </c>
      <c r="G209" s="68">
        <v>15.15</v>
      </c>
      <c r="H209" s="68">
        <v>64</v>
      </c>
      <c r="I209" s="68">
        <v>3</v>
      </c>
      <c r="J209" s="68">
        <v>10.5</v>
      </c>
      <c r="K209" s="68">
        <v>6</v>
      </c>
      <c r="L209" s="68">
        <v>2.1</v>
      </c>
    </row>
    <row r="210" spans="1:12" ht="18" customHeight="1">
      <c r="B210" s="36"/>
      <c r="C210" s="112" t="s">
        <v>14</v>
      </c>
      <c r="D210" s="73">
        <f>D209</f>
        <v>150</v>
      </c>
      <c r="E210" s="91">
        <f>E209</f>
        <v>0.75</v>
      </c>
      <c r="F210" s="110">
        <f t="shared" ref="F210:L210" si="53">F209</f>
        <v>0</v>
      </c>
      <c r="G210" s="110">
        <f t="shared" si="53"/>
        <v>15.15</v>
      </c>
      <c r="H210" s="110">
        <f t="shared" si="53"/>
        <v>64</v>
      </c>
      <c r="I210" s="110">
        <f t="shared" si="53"/>
        <v>3</v>
      </c>
      <c r="J210" s="110">
        <f t="shared" si="53"/>
        <v>10.5</v>
      </c>
      <c r="K210" s="110">
        <f t="shared" si="53"/>
        <v>6</v>
      </c>
      <c r="L210" s="110">
        <f t="shared" si="53"/>
        <v>2.1</v>
      </c>
    </row>
    <row r="211" spans="1:12" ht="18" customHeight="1">
      <c r="A211" s="35">
        <v>7</v>
      </c>
      <c r="B211" s="138" t="s">
        <v>222</v>
      </c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</row>
    <row r="212" spans="1:12" ht="18" customHeight="1">
      <c r="A212" s="35">
        <v>7</v>
      </c>
      <c r="B212" s="128" t="s">
        <v>115</v>
      </c>
      <c r="C212" s="64" t="s">
        <v>116</v>
      </c>
      <c r="D212" s="128">
        <v>50</v>
      </c>
      <c r="E212" s="68">
        <v>0.6</v>
      </c>
      <c r="F212" s="68">
        <v>3</v>
      </c>
      <c r="G212" s="68">
        <v>5</v>
      </c>
      <c r="H212" s="68">
        <v>51</v>
      </c>
      <c r="I212" s="68">
        <v>1.7</v>
      </c>
      <c r="J212" s="68">
        <v>14.6</v>
      </c>
      <c r="K212" s="68">
        <v>8.1</v>
      </c>
      <c r="L212" s="68">
        <v>0.7</v>
      </c>
    </row>
    <row r="213" spans="1:12" ht="18" customHeight="1">
      <c r="B213" s="56" t="s">
        <v>117</v>
      </c>
      <c r="C213" s="22" t="s">
        <v>225</v>
      </c>
      <c r="D213" s="57">
        <v>180</v>
      </c>
      <c r="E213" s="39">
        <v>2</v>
      </c>
      <c r="F213" s="39">
        <v>2.35</v>
      </c>
      <c r="G213" s="39">
        <v>11.8</v>
      </c>
      <c r="H213" s="39">
        <v>76.5</v>
      </c>
      <c r="I213" s="39">
        <v>5.9</v>
      </c>
      <c r="J213" s="39">
        <v>20.5</v>
      </c>
      <c r="K213" s="39">
        <v>24.5</v>
      </c>
      <c r="L213" s="39">
        <v>0.88</v>
      </c>
    </row>
    <row r="214" spans="1:12" ht="18" customHeight="1">
      <c r="B214" s="56" t="s">
        <v>187</v>
      </c>
      <c r="C214" s="22" t="s">
        <v>226</v>
      </c>
      <c r="D214" s="57">
        <v>60</v>
      </c>
      <c r="E214" s="39">
        <v>10.8</v>
      </c>
      <c r="F214" s="39">
        <v>21</v>
      </c>
      <c r="G214" s="39">
        <v>0.59</v>
      </c>
      <c r="H214" s="39">
        <v>235</v>
      </c>
      <c r="I214" s="39">
        <v>0.28999999999999998</v>
      </c>
      <c r="J214" s="39">
        <v>6.92</v>
      </c>
      <c r="K214" s="39">
        <v>16</v>
      </c>
      <c r="L214" s="39">
        <v>1.24</v>
      </c>
    </row>
    <row r="215" spans="1:12" ht="18" customHeight="1">
      <c r="B215" s="36" t="s">
        <v>227</v>
      </c>
      <c r="C215" s="22" t="s">
        <v>228</v>
      </c>
      <c r="D215" s="37">
        <v>110</v>
      </c>
      <c r="E215" s="68">
        <v>2.35</v>
      </c>
      <c r="F215" s="68">
        <v>3.58</v>
      </c>
      <c r="G215" s="68">
        <v>10.5</v>
      </c>
      <c r="H215" s="68">
        <v>83.4</v>
      </c>
      <c r="I215" s="68">
        <v>0</v>
      </c>
      <c r="J215" s="68">
        <v>3.66</v>
      </c>
      <c r="K215" s="68">
        <v>36.6</v>
      </c>
      <c r="L215" s="68">
        <v>1.22</v>
      </c>
    </row>
    <row r="216" spans="1:12" ht="18" customHeight="1">
      <c r="B216" s="127" t="s">
        <v>123</v>
      </c>
      <c r="C216" s="64" t="s">
        <v>84</v>
      </c>
      <c r="D216" s="128">
        <v>180</v>
      </c>
      <c r="E216" s="68">
        <v>0.4</v>
      </c>
      <c r="F216" s="68">
        <v>0.02</v>
      </c>
      <c r="G216" s="68">
        <v>19</v>
      </c>
      <c r="H216" s="68">
        <v>77.7</v>
      </c>
      <c r="I216" s="68">
        <v>0.36</v>
      </c>
      <c r="J216" s="68">
        <v>28.54</v>
      </c>
      <c r="K216" s="68">
        <v>5.4</v>
      </c>
      <c r="L216" s="68">
        <v>1.1100000000000001</v>
      </c>
    </row>
    <row r="217" spans="1:12" ht="18" customHeight="1">
      <c r="B217" s="72"/>
      <c r="C217" s="112" t="s">
        <v>14</v>
      </c>
      <c r="D217" s="37">
        <f t="shared" ref="D217:L217" si="54">SUM(D212:D216)</f>
        <v>580</v>
      </c>
      <c r="E217" s="91">
        <f t="shared" si="54"/>
        <v>16.149999999999999</v>
      </c>
      <c r="F217" s="110">
        <f t="shared" si="54"/>
        <v>29.95</v>
      </c>
      <c r="G217" s="110">
        <f t="shared" si="54"/>
        <v>46.89</v>
      </c>
      <c r="H217" s="110">
        <f t="shared" si="54"/>
        <v>523.6</v>
      </c>
      <c r="I217" s="110">
        <f t="shared" si="54"/>
        <v>8.25</v>
      </c>
      <c r="J217" s="110">
        <f t="shared" si="54"/>
        <v>74.22</v>
      </c>
      <c r="K217" s="110">
        <f t="shared" si="54"/>
        <v>90.600000000000009</v>
      </c>
      <c r="L217" s="110">
        <f t="shared" si="54"/>
        <v>5.15</v>
      </c>
    </row>
    <row r="218" spans="1:12" ht="18" customHeight="1">
      <c r="A218" s="35">
        <v>7</v>
      </c>
      <c r="B218" s="138" t="s">
        <v>233</v>
      </c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</row>
    <row r="219" spans="1:12" s="65" customFormat="1" ht="18" customHeight="1">
      <c r="B219" s="127" t="s">
        <v>140</v>
      </c>
      <c r="C219" s="64" t="s">
        <v>141</v>
      </c>
      <c r="D219" s="69">
        <v>65</v>
      </c>
      <c r="E219" s="68">
        <v>0.26</v>
      </c>
      <c r="F219" s="68">
        <v>0.26</v>
      </c>
      <c r="G219" s="68">
        <v>20.100000000000001</v>
      </c>
      <c r="H219" s="68">
        <v>84.5</v>
      </c>
      <c r="I219" s="68">
        <v>2.7</v>
      </c>
      <c r="J219" s="68">
        <v>10.6</v>
      </c>
      <c r="K219" s="68">
        <v>5.7</v>
      </c>
      <c r="L219" s="68">
        <v>1.4</v>
      </c>
    </row>
    <row r="220" spans="1:12" s="65" customFormat="1" ht="18" customHeight="1">
      <c r="B220" s="85"/>
      <c r="C220" s="112" t="s">
        <v>14</v>
      </c>
      <c r="D220" s="69">
        <f t="shared" ref="D220:L220" si="55">SUM(D219)</f>
        <v>65</v>
      </c>
      <c r="E220" s="91">
        <f t="shared" si="55"/>
        <v>0.26</v>
      </c>
      <c r="F220" s="110">
        <f t="shared" si="55"/>
        <v>0.26</v>
      </c>
      <c r="G220" s="110">
        <f t="shared" si="55"/>
        <v>20.100000000000001</v>
      </c>
      <c r="H220" s="110">
        <f t="shared" si="55"/>
        <v>84.5</v>
      </c>
      <c r="I220" s="110">
        <f t="shared" si="55"/>
        <v>2.7</v>
      </c>
      <c r="J220" s="110">
        <f t="shared" si="55"/>
        <v>10.6</v>
      </c>
      <c r="K220" s="110">
        <f t="shared" si="55"/>
        <v>5.7</v>
      </c>
      <c r="L220" s="110">
        <f t="shared" si="55"/>
        <v>1.4</v>
      </c>
    </row>
    <row r="221" spans="1:12" s="65" customFormat="1" ht="18" customHeight="1">
      <c r="B221" s="135" t="s">
        <v>234</v>
      </c>
      <c r="C221" s="136"/>
      <c r="D221" s="136"/>
      <c r="E221" s="136"/>
      <c r="F221" s="136"/>
      <c r="G221" s="136"/>
      <c r="H221" s="136"/>
      <c r="I221" s="136"/>
      <c r="J221" s="136"/>
      <c r="K221" s="136"/>
      <c r="L221" s="137"/>
    </row>
    <row r="222" spans="1:12" s="65" customFormat="1" ht="18" customHeight="1">
      <c r="B222" s="72" t="s">
        <v>229</v>
      </c>
      <c r="C222" s="64" t="s">
        <v>230</v>
      </c>
      <c r="D222" s="69">
        <v>50</v>
      </c>
      <c r="E222" s="68">
        <v>0.5</v>
      </c>
      <c r="F222" s="68">
        <v>3</v>
      </c>
      <c r="G222" s="68">
        <v>4.7</v>
      </c>
      <c r="H222" s="68">
        <v>49.5</v>
      </c>
      <c r="I222" s="68">
        <v>1.47</v>
      </c>
      <c r="J222" s="68">
        <v>11.1</v>
      </c>
      <c r="K222" s="68">
        <v>14.5</v>
      </c>
      <c r="L222" s="68">
        <v>0.4</v>
      </c>
    </row>
    <row r="223" spans="1:12" s="65" customFormat="1" ht="18" customHeight="1">
      <c r="B223" s="85" t="s">
        <v>144</v>
      </c>
      <c r="C223" s="64" t="s">
        <v>231</v>
      </c>
      <c r="D223" s="69">
        <v>120</v>
      </c>
      <c r="E223" s="68">
        <v>5.67</v>
      </c>
      <c r="F223" s="68">
        <v>8</v>
      </c>
      <c r="G223" s="68">
        <v>9.3699999999999992</v>
      </c>
      <c r="H223" s="68">
        <v>132.19999999999999</v>
      </c>
      <c r="I223" s="68">
        <v>2.92</v>
      </c>
      <c r="J223" s="68">
        <v>9.1</v>
      </c>
      <c r="K223" s="68">
        <v>19.2</v>
      </c>
      <c r="L223" s="68">
        <v>0.9</v>
      </c>
    </row>
    <row r="224" spans="1:12" ht="20.25" customHeight="1">
      <c r="A224" s="35">
        <v>7</v>
      </c>
      <c r="B224" s="127" t="s">
        <v>146</v>
      </c>
      <c r="C224" s="64" t="s">
        <v>147</v>
      </c>
      <c r="D224" s="69">
        <v>150</v>
      </c>
      <c r="E224" s="68">
        <v>0.4</v>
      </c>
      <c r="F224" s="68">
        <v>0.1</v>
      </c>
      <c r="G224" s="68">
        <v>11.1</v>
      </c>
      <c r="H224" s="68">
        <v>46</v>
      </c>
      <c r="I224" s="68">
        <v>0.6</v>
      </c>
      <c r="J224" s="68">
        <v>5.2</v>
      </c>
      <c r="K224" s="68">
        <v>2.85</v>
      </c>
      <c r="L224" s="68">
        <v>1</v>
      </c>
    </row>
    <row r="225" spans="1:12" s="65" customFormat="1" ht="18" customHeight="1">
      <c r="B225" s="69" t="s">
        <v>262</v>
      </c>
      <c r="C225" s="64" t="s">
        <v>264</v>
      </c>
      <c r="D225" s="131">
        <v>120</v>
      </c>
      <c r="E225" s="68">
        <v>0.48</v>
      </c>
      <c r="F225" s="68">
        <v>0.48</v>
      </c>
      <c r="G225" s="68">
        <v>11.76</v>
      </c>
      <c r="H225" s="68">
        <v>56</v>
      </c>
      <c r="I225" s="68">
        <v>12</v>
      </c>
      <c r="J225" s="68">
        <v>19.2</v>
      </c>
      <c r="K225" s="68">
        <v>10.8</v>
      </c>
      <c r="L225" s="68">
        <v>2.64</v>
      </c>
    </row>
    <row r="226" spans="1:12" ht="18" customHeight="1">
      <c r="A226" s="35">
        <v>7</v>
      </c>
      <c r="B226" s="36"/>
      <c r="C226" s="112" t="s">
        <v>14</v>
      </c>
      <c r="D226" s="37">
        <f t="shared" ref="D226:L226" si="56">SUM(D222:D224)</f>
        <v>320</v>
      </c>
      <c r="E226" s="36">
        <f t="shared" si="56"/>
        <v>6.57</v>
      </c>
      <c r="F226" s="125">
        <f t="shared" si="56"/>
        <v>11.1</v>
      </c>
      <c r="G226" s="125">
        <f t="shared" si="56"/>
        <v>25.17</v>
      </c>
      <c r="H226" s="125">
        <f t="shared" si="56"/>
        <v>227.7</v>
      </c>
      <c r="I226" s="125">
        <f t="shared" si="56"/>
        <v>4.9899999999999993</v>
      </c>
      <c r="J226" s="125">
        <f t="shared" si="56"/>
        <v>25.4</v>
      </c>
      <c r="K226" s="125">
        <f t="shared" si="56"/>
        <v>36.550000000000004</v>
      </c>
      <c r="L226" s="125">
        <f t="shared" si="56"/>
        <v>2.2999999999999998</v>
      </c>
    </row>
    <row r="227" spans="1:12" ht="18" customHeight="1">
      <c r="A227" s="35">
        <v>7</v>
      </c>
      <c r="B227" s="36"/>
      <c r="C227" s="72" t="s">
        <v>22</v>
      </c>
      <c r="D227" s="37">
        <f>D207+D210+D217+D220+D226</f>
        <v>1470</v>
      </c>
      <c r="E227" s="36">
        <f t="shared" ref="E227:L227" si="57">E207+E210+E217+E226</f>
        <v>25.41</v>
      </c>
      <c r="F227" s="72">
        <f t="shared" si="57"/>
        <v>44.06</v>
      </c>
      <c r="G227" s="72">
        <f t="shared" si="57"/>
        <v>95.8</v>
      </c>
      <c r="H227" s="72">
        <f>H207+H210+H217+H226+H220</f>
        <v>969.25</v>
      </c>
      <c r="I227" s="72">
        <f t="shared" si="57"/>
        <v>16.259999999999998</v>
      </c>
      <c r="J227" s="72">
        <f t="shared" si="57"/>
        <v>121.03</v>
      </c>
      <c r="K227" s="72">
        <f t="shared" si="57"/>
        <v>142.9</v>
      </c>
      <c r="L227" s="72">
        <f t="shared" si="57"/>
        <v>9.99</v>
      </c>
    </row>
    <row r="228" spans="1:12" s="65" customFormat="1" ht="20.100000000000001" customHeight="1">
      <c r="B228" s="121"/>
      <c r="C228" s="121" t="s">
        <v>93</v>
      </c>
      <c r="D228" s="122"/>
      <c r="E228" s="121">
        <v>42</v>
      </c>
      <c r="F228" s="121">
        <v>47</v>
      </c>
      <c r="G228" s="121">
        <v>203</v>
      </c>
      <c r="H228" s="121">
        <v>1400</v>
      </c>
      <c r="I228" s="121">
        <v>45</v>
      </c>
      <c r="J228" s="121">
        <v>800</v>
      </c>
      <c r="K228" s="121">
        <v>80</v>
      </c>
      <c r="L228" s="121">
        <v>10</v>
      </c>
    </row>
    <row r="229" spans="1:12" s="65" customFormat="1" ht="20.100000000000001" customHeight="1">
      <c r="B229" s="123"/>
      <c r="C229" s="123" t="s">
        <v>94</v>
      </c>
      <c r="D229" s="124"/>
      <c r="E229" s="123">
        <f>ROUND(E227/E228*100-100,2)</f>
        <v>-39.5</v>
      </c>
      <c r="F229" s="123">
        <f t="shared" ref="F229:L229" si="58">ROUND(F227/F228*100-100,2)</f>
        <v>-6.26</v>
      </c>
      <c r="G229" s="123">
        <f t="shared" si="58"/>
        <v>-52.81</v>
      </c>
      <c r="H229" s="123">
        <f t="shared" si="58"/>
        <v>-30.77</v>
      </c>
      <c r="I229" s="123">
        <f t="shared" si="58"/>
        <v>-63.87</v>
      </c>
      <c r="J229" s="123">
        <f t="shared" si="58"/>
        <v>-84.87</v>
      </c>
      <c r="K229" s="123">
        <f t="shared" si="58"/>
        <v>78.63</v>
      </c>
      <c r="L229" s="123">
        <f t="shared" si="58"/>
        <v>-0.1</v>
      </c>
    </row>
    <row r="230" spans="1:12" s="30" customFormat="1" ht="20.100000000000001" customHeight="1">
      <c r="B230" s="31" t="s">
        <v>72</v>
      </c>
      <c r="C230" s="32"/>
      <c r="D230" s="41"/>
      <c r="E230" s="42"/>
      <c r="F230" s="42"/>
      <c r="G230" s="42"/>
      <c r="H230" s="42"/>
      <c r="I230" s="42"/>
      <c r="J230" s="42"/>
      <c r="K230" s="42"/>
      <c r="L230" s="42"/>
    </row>
    <row r="231" spans="1:12" s="30" customFormat="1" ht="20.100000000000001" customHeight="1">
      <c r="B231" s="31" t="s">
        <v>70</v>
      </c>
      <c r="C231" s="32"/>
      <c r="D231" s="41"/>
      <c r="E231" s="42"/>
      <c r="F231" s="42"/>
      <c r="G231" s="42"/>
      <c r="H231" s="42"/>
      <c r="I231" s="42"/>
      <c r="J231" s="42"/>
      <c r="K231" s="42"/>
      <c r="L231" s="42"/>
    </row>
    <row r="232" spans="1:12" s="30" customFormat="1">
      <c r="B232" s="31" t="s">
        <v>95</v>
      </c>
      <c r="C232" s="32"/>
      <c r="D232" s="33"/>
      <c r="E232" s="34"/>
      <c r="F232" s="34"/>
      <c r="G232" s="34"/>
      <c r="H232" s="34"/>
      <c r="I232" s="34"/>
      <c r="J232" s="34"/>
      <c r="K232" s="34"/>
      <c r="L232" s="34"/>
    </row>
    <row r="233" spans="1:12" s="30" customFormat="1" ht="17.45" customHeight="1">
      <c r="B233" s="40"/>
      <c r="C233" s="40"/>
      <c r="D233" s="41"/>
      <c r="E233" s="42"/>
      <c r="F233" s="42"/>
      <c r="G233" s="42"/>
      <c r="H233" s="42"/>
      <c r="I233" s="42"/>
      <c r="J233" s="42"/>
      <c r="K233" s="42"/>
      <c r="L233" s="42"/>
    </row>
    <row r="234" spans="1:12" s="30" customFormat="1" ht="36" customHeight="1">
      <c r="B234" s="139" t="s">
        <v>0</v>
      </c>
      <c r="C234" s="139" t="s">
        <v>1</v>
      </c>
      <c r="D234" s="140" t="s">
        <v>2</v>
      </c>
      <c r="E234" s="138" t="s">
        <v>3</v>
      </c>
      <c r="F234" s="138"/>
      <c r="G234" s="138"/>
      <c r="H234" s="138" t="s">
        <v>4</v>
      </c>
      <c r="I234" s="100"/>
      <c r="J234" s="138" t="s">
        <v>5</v>
      </c>
      <c r="K234" s="138"/>
      <c r="L234" s="138"/>
    </row>
    <row r="235" spans="1:12" s="30" customFormat="1" ht="38.25" customHeight="1">
      <c r="B235" s="139"/>
      <c r="C235" s="139"/>
      <c r="D235" s="140"/>
      <c r="E235" s="36" t="s">
        <v>6</v>
      </c>
      <c r="F235" s="36" t="s">
        <v>7</v>
      </c>
      <c r="G235" s="36" t="s">
        <v>8</v>
      </c>
      <c r="H235" s="138"/>
      <c r="I235" s="36" t="s">
        <v>9</v>
      </c>
      <c r="J235" s="36" t="s">
        <v>10</v>
      </c>
      <c r="K235" s="36" t="s">
        <v>11</v>
      </c>
      <c r="L235" s="36" t="s">
        <v>12</v>
      </c>
    </row>
    <row r="236" spans="1:12" ht="18" customHeight="1">
      <c r="A236" s="35">
        <v>8</v>
      </c>
      <c r="B236" s="138" t="s">
        <v>240</v>
      </c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</row>
    <row r="237" spans="1:12" ht="36" customHeight="1">
      <c r="A237" s="35">
        <v>8</v>
      </c>
      <c r="B237" s="127" t="s">
        <v>109</v>
      </c>
      <c r="C237" s="64" t="s">
        <v>110</v>
      </c>
      <c r="D237" s="129" t="s">
        <v>111</v>
      </c>
      <c r="E237" s="68">
        <v>5.16</v>
      </c>
      <c r="F237" s="68">
        <v>8.4700000000000006</v>
      </c>
      <c r="G237" s="68">
        <v>9.86</v>
      </c>
      <c r="H237" s="68">
        <v>136.30000000000001</v>
      </c>
      <c r="I237" s="68">
        <v>0.17</v>
      </c>
      <c r="J237" s="68">
        <v>12</v>
      </c>
      <c r="K237" s="68">
        <v>25.7</v>
      </c>
      <c r="L237" s="68">
        <v>1</v>
      </c>
    </row>
    <row r="238" spans="1:12" ht="18" customHeight="1">
      <c r="B238" s="69" t="s">
        <v>112</v>
      </c>
      <c r="C238" s="64" t="s">
        <v>90</v>
      </c>
      <c r="D238" s="129" t="s">
        <v>113</v>
      </c>
      <c r="E238" s="68">
        <v>0.01</v>
      </c>
      <c r="F238" s="68">
        <v>0.01</v>
      </c>
      <c r="G238" s="68">
        <v>4.99</v>
      </c>
      <c r="H238" s="68">
        <v>19.95</v>
      </c>
      <c r="I238" s="68">
        <v>0.02</v>
      </c>
      <c r="J238" s="68">
        <v>7.94</v>
      </c>
      <c r="K238" s="68">
        <v>0.9</v>
      </c>
      <c r="L238" s="68">
        <v>0.18</v>
      </c>
    </row>
    <row r="239" spans="1:12" ht="18" customHeight="1">
      <c r="A239" s="35">
        <v>8</v>
      </c>
      <c r="B239" s="36"/>
      <c r="C239" s="112" t="s">
        <v>14</v>
      </c>
      <c r="D239" s="37">
        <v>325</v>
      </c>
      <c r="E239" s="51">
        <f t="shared" ref="E239:L239" si="59">SUM(E237:E238)</f>
        <v>5.17</v>
      </c>
      <c r="F239" s="51">
        <f t="shared" si="59"/>
        <v>8.48</v>
      </c>
      <c r="G239" s="51">
        <f t="shared" si="59"/>
        <v>14.85</v>
      </c>
      <c r="H239" s="51">
        <f t="shared" si="59"/>
        <v>156.25</v>
      </c>
      <c r="I239" s="51">
        <f t="shared" si="59"/>
        <v>0.19</v>
      </c>
      <c r="J239" s="51">
        <f t="shared" si="59"/>
        <v>19.940000000000001</v>
      </c>
      <c r="K239" s="51">
        <f t="shared" si="59"/>
        <v>26.599999999999998</v>
      </c>
      <c r="L239" s="51">
        <f t="shared" si="59"/>
        <v>1.18</v>
      </c>
    </row>
    <row r="240" spans="1:12" s="65" customFormat="1" ht="18" customHeight="1">
      <c r="B240" s="135" t="s">
        <v>241</v>
      </c>
      <c r="C240" s="136"/>
      <c r="D240" s="136"/>
      <c r="E240" s="136"/>
      <c r="F240" s="136"/>
      <c r="G240" s="136"/>
      <c r="H240" s="136"/>
      <c r="I240" s="136"/>
      <c r="J240" s="136"/>
      <c r="K240" s="136"/>
      <c r="L240" s="137"/>
    </row>
    <row r="241" spans="1:12" s="65" customFormat="1" ht="18" customHeight="1">
      <c r="B241" s="74" t="s">
        <v>114</v>
      </c>
      <c r="C241" s="64" t="s">
        <v>85</v>
      </c>
      <c r="D241" s="69">
        <v>150</v>
      </c>
      <c r="E241" s="38">
        <v>0.75</v>
      </c>
      <c r="F241" s="38">
        <v>0</v>
      </c>
      <c r="G241" s="38">
        <v>15.15</v>
      </c>
      <c r="H241" s="38">
        <v>64</v>
      </c>
      <c r="I241" s="38">
        <v>3</v>
      </c>
      <c r="J241" s="38">
        <v>10.5</v>
      </c>
      <c r="K241" s="38">
        <v>6</v>
      </c>
      <c r="L241" s="38">
        <v>2.1</v>
      </c>
    </row>
    <row r="242" spans="1:12" s="65" customFormat="1" ht="18" customHeight="1">
      <c r="B242" s="74"/>
      <c r="C242" s="112" t="s">
        <v>14</v>
      </c>
      <c r="D242" s="75">
        <f>D241</f>
        <v>150</v>
      </c>
      <c r="E242" s="51">
        <f>E241</f>
        <v>0.75</v>
      </c>
      <c r="F242" s="51">
        <f t="shared" ref="F242:L242" si="60">F241</f>
        <v>0</v>
      </c>
      <c r="G242" s="51">
        <f t="shared" si="60"/>
        <v>15.15</v>
      </c>
      <c r="H242" s="51">
        <f t="shared" si="60"/>
        <v>64</v>
      </c>
      <c r="I242" s="51">
        <f t="shared" si="60"/>
        <v>3</v>
      </c>
      <c r="J242" s="51">
        <f t="shared" si="60"/>
        <v>10.5</v>
      </c>
      <c r="K242" s="51">
        <f t="shared" si="60"/>
        <v>6</v>
      </c>
      <c r="L242" s="51">
        <f t="shared" si="60"/>
        <v>2.1</v>
      </c>
    </row>
    <row r="243" spans="1:12" ht="18" customHeight="1">
      <c r="A243" s="35">
        <v>8</v>
      </c>
      <c r="B243" s="138" t="s">
        <v>242</v>
      </c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</row>
    <row r="244" spans="1:12" ht="18" customHeight="1">
      <c r="B244" s="69" t="s">
        <v>142</v>
      </c>
      <c r="C244" s="64" t="s">
        <v>143</v>
      </c>
      <c r="D244" s="128">
        <v>40</v>
      </c>
      <c r="E244" s="68">
        <v>0.88</v>
      </c>
      <c r="F244" s="68">
        <v>1.84</v>
      </c>
      <c r="G244" s="68">
        <v>4.3499999999999996</v>
      </c>
      <c r="H244" s="68">
        <v>37.479999999999997</v>
      </c>
      <c r="I244" s="68">
        <v>2</v>
      </c>
      <c r="J244" s="68">
        <v>12.2</v>
      </c>
      <c r="K244" s="68">
        <v>16.5</v>
      </c>
      <c r="L244" s="68">
        <v>0.49</v>
      </c>
    </row>
    <row r="245" spans="1:12" ht="18" customHeight="1">
      <c r="A245" s="35">
        <v>8</v>
      </c>
      <c r="B245" s="69" t="s">
        <v>149</v>
      </c>
      <c r="C245" s="64" t="s">
        <v>198</v>
      </c>
      <c r="D245" s="128">
        <v>180</v>
      </c>
      <c r="E245" s="68">
        <v>1.3</v>
      </c>
      <c r="F245" s="68">
        <v>3.5</v>
      </c>
      <c r="G245" s="68">
        <v>9.1</v>
      </c>
      <c r="H245" s="68">
        <v>73.8</v>
      </c>
      <c r="I245" s="68">
        <v>7.4</v>
      </c>
      <c r="J245" s="68">
        <v>32</v>
      </c>
      <c r="K245" s="68">
        <v>18.899999999999999</v>
      </c>
      <c r="L245" s="68">
        <v>0.85</v>
      </c>
    </row>
    <row r="246" spans="1:12" s="65" customFormat="1" ht="21" customHeight="1">
      <c r="B246" s="130" t="s">
        <v>150</v>
      </c>
      <c r="C246" s="64" t="s">
        <v>151</v>
      </c>
      <c r="D246" s="69">
        <v>60</v>
      </c>
      <c r="E246" s="68">
        <v>10.6</v>
      </c>
      <c r="F246" s="68">
        <v>7.4</v>
      </c>
      <c r="G246" s="68">
        <v>1.1000000000000001</v>
      </c>
      <c r="H246" s="68">
        <v>113.4</v>
      </c>
      <c r="I246" s="68">
        <v>0.86</v>
      </c>
      <c r="J246" s="68">
        <v>11.5</v>
      </c>
      <c r="K246" s="68">
        <v>10.7</v>
      </c>
      <c r="L246" s="68">
        <v>0.7</v>
      </c>
    </row>
    <row r="247" spans="1:12" ht="18" customHeight="1">
      <c r="A247" s="35">
        <v>8</v>
      </c>
      <c r="B247" s="74" t="s">
        <v>227</v>
      </c>
      <c r="C247" s="22" t="s">
        <v>235</v>
      </c>
      <c r="D247" s="37">
        <v>110</v>
      </c>
      <c r="E247" s="68">
        <v>1</v>
      </c>
      <c r="F247" s="68">
        <v>2.95</v>
      </c>
      <c r="G247" s="68">
        <v>8.8000000000000007</v>
      </c>
      <c r="H247" s="68">
        <v>66</v>
      </c>
      <c r="I247" s="68">
        <v>0</v>
      </c>
      <c r="J247" s="68">
        <v>5.7</v>
      </c>
      <c r="K247" s="68">
        <v>16.5</v>
      </c>
      <c r="L247" s="68">
        <v>0.3</v>
      </c>
    </row>
    <row r="248" spans="1:12" ht="30" customHeight="1">
      <c r="A248" s="35">
        <v>8</v>
      </c>
      <c r="B248" s="47" t="s">
        <v>88</v>
      </c>
      <c r="C248" s="48" t="s">
        <v>204</v>
      </c>
      <c r="D248" s="49">
        <v>180</v>
      </c>
      <c r="E248" s="68">
        <v>0.18</v>
      </c>
      <c r="F248" s="68">
        <v>0.09</v>
      </c>
      <c r="G248" s="68">
        <v>10.98</v>
      </c>
      <c r="H248" s="68">
        <v>44.1</v>
      </c>
      <c r="I248" s="68">
        <v>1.44</v>
      </c>
      <c r="J248" s="68">
        <v>5.29</v>
      </c>
      <c r="K248" s="68">
        <v>2.82</v>
      </c>
      <c r="L248" s="68">
        <v>0.7</v>
      </c>
    </row>
    <row r="249" spans="1:12" ht="18" customHeight="1">
      <c r="A249" s="35">
        <v>8</v>
      </c>
      <c r="B249" s="36"/>
      <c r="C249" s="36" t="s">
        <v>14</v>
      </c>
      <c r="D249" s="75">
        <f t="shared" ref="D249:L249" si="61">SUM(D244:D248)</f>
        <v>570</v>
      </c>
      <c r="E249" s="36">
        <f t="shared" si="61"/>
        <v>13.959999999999999</v>
      </c>
      <c r="F249" s="99">
        <f t="shared" si="61"/>
        <v>15.780000000000001</v>
      </c>
      <c r="G249" s="99">
        <f t="shared" si="61"/>
        <v>34.33</v>
      </c>
      <c r="H249" s="99">
        <f t="shared" si="61"/>
        <v>334.78000000000003</v>
      </c>
      <c r="I249" s="99">
        <f t="shared" si="61"/>
        <v>11.7</v>
      </c>
      <c r="J249" s="99">
        <f t="shared" si="61"/>
        <v>66.690000000000012</v>
      </c>
      <c r="K249" s="99">
        <f t="shared" si="61"/>
        <v>65.419999999999987</v>
      </c>
      <c r="L249" s="99">
        <f t="shared" si="61"/>
        <v>3.04</v>
      </c>
    </row>
    <row r="250" spans="1:12" ht="18" customHeight="1">
      <c r="A250" s="35">
        <v>8</v>
      </c>
      <c r="B250" s="138" t="s">
        <v>243</v>
      </c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</row>
    <row r="251" spans="1:12" s="65" customFormat="1" ht="30.6" customHeight="1">
      <c r="B251" s="127" t="s">
        <v>124</v>
      </c>
      <c r="C251" s="64" t="s">
        <v>202</v>
      </c>
      <c r="D251" s="69">
        <v>60</v>
      </c>
      <c r="E251" s="68">
        <v>0.41</v>
      </c>
      <c r="F251" s="68">
        <v>0.3</v>
      </c>
      <c r="G251" s="68">
        <v>10.5</v>
      </c>
      <c r="H251" s="68">
        <v>46.7</v>
      </c>
      <c r="I251" s="68">
        <v>2.7</v>
      </c>
      <c r="J251" s="68">
        <v>13.1</v>
      </c>
      <c r="K251" s="68">
        <v>8.9</v>
      </c>
      <c r="L251" s="68">
        <v>1.56</v>
      </c>
    </row>
    <row r="252" spans="1:12" s="65" customFormat="1" ht="18" customHeight="1">
      <c r="B252" s="85"/>
      <c r="C252" s="112" t="s">
        <v>14</v>
      </c>
      <c r="D252" s="69">
        <f t="shared" ref="D252:L252" si="62">SUM(D251)</f>
        <v>60</v>
      </c>
      <c r="E252" s="85">
        <f t="shared" si="62"/>
        <v>0.41</v>
      </c>
      <c r="F252" s="85">
        <f t="shared" si="62"/>
        <v>0.3</v>
      </c>
      <c r="G252" s="85">
        <f t="shared" si="62"/>
        <v>10.5</v>
      </c>
      <c r="H252" s="85">
        <f t="shared" si="62"/>
        <v>46.7</v>
      </c>
      <c r="I252" s="85">
        <f t="shared" si="62"/>
        <v>2.7</v>
      </c>
      <c r="J252" s="85">
        <f t="shared" si="62"/>
        <v>13.1</v>
      </c>
      <c r="K252" s="85">
        <f t="shared" si="62"/>
        <v>8.9</v>
      </c>
      <c r="L252" s="85">
        <f t="shared" si="62"/>
        <v>1.56</v>
      </c>
    </row>
    <row r="253" spans="1:12" s="65" customFormat="1" ht="18" customHeight="1">
      <c r="B253" s="135" t="s">
        <v>244</v>
      </c>
      <c r="C253" s="136"/>
      <c r="D253" s="136"/>
      <c r="E253" s="136"/>
      <c r="F253" s="136"/>
      <c r="G253" s="136"/>
      <c r="H253" s="136"/>
      <c r="I253" s="136"/>
      <c r="J253" s="136"/>
      <c r="K253" s="136"/>
      <c r="L253" s="137"/>
    </row>
    <row r="254" spans="1:12" s="65" customFormat="1" ht="18" customHeight="1">
      <c r="B254" s="47" t="s">
        <v>155</v>
      </c>
      <c r="C254" s="48" t="s">
        <v>83</v>
      </c>
      <c r="D254" s="49">
        <v>40</v>
      </c>
      <c r="E254" s="68">
        <v>0.56000000000000005</v>
      </c>
      <c r="F254" s="68">
        <v>2.0299999999999998</v>
      </c>
      <c r="G254" s="68">
        <v>3.6</v>
      </c>
      <c r="H254" s="68">
        <v>34.96</v>
      </c>
      <c r="I254" s="68">
        <v>12.98</v>
      </c>
      <c r="J254" s="68">
        <v>14.95</v>
      </c>
      <c r="K254" s="68">
        <v>6.06</v>
      </c>
      <c r="L254" s="68">
        <v>0.2</v>
      </c>
    </row>
    <row r="255" spans="1:12" s="65" customFormat="1" ht="18" customHeight="1">
      <c r="B255" s="127" t="s">
        <v>238</v>
      </c>
      <c r="C255" s="64" t="s">
        <v>239</v>
      </c>
      <c r="D255" s="69">
        <v>40</v>
      </c>
      <c r="E255" s="68">
        <v>0.4</v>
      </c>
      <c r="F255" s="68">
        <v>2.4</v>
      </c>
      <c r="G255" s="68">
        <v>1.4</v>
      </c>
      <c r="H255" s="68">
        <v>31</v>
      </c>
      <c r="I255" s="68">
        <v>9.1999999999999993</v>
      </c>
      <c r="J255" s="68">
        <v>5.9</v>
      </c>
      <c r="K255" s="68">
        <v>7.4</v>
      </c>
      <c r="L255" s="68">
        <v>0.3</v>
      </c>
    </row>
    <row r="256" spans="1:12" s="65" customFormat="1" ht="18" customHeight="1">
      <c r="B256" s="127"/>
      <c r="C256" s="115" t="s">
        <v>39</v>
      </c>
      <c r="D256" s="96"/>
      <c r="E256" s="114">
        <f>SUM(E253:E255)/2</f>
        <v>0.48000000000000004</v>
      </c>
      <c r="F256" s="114">
        <f t="shared" ref="F256:L256" si="63">SUM(F253:F255)/2</f>
        <v>2.2149999999999999</v>
      </c>
      <c r="G256" s="114">
        <f t="shared" si="63"/>
        <v>2.5</v>
      </c>
      <c r="H256" s="114">
        <f t="shared" si="63"/>
        <v>32.980000000000004</v>
      </c>
      <c r="I256" s="114">
        <f t="shared" si="63"/>
        <v>11.09</v>
      </c>
      <c r="J256" s="114">
        <f t="shared" si="63"/>
        <v>10.425000000000001</v>
      </c>
      <c r="K256" s="114">
        <f t="shared" si="63"/>
        <v>6.73</v>
      </c>
      <c r="L256" s="114">
        <f t="shared" si="63"/>
        <v>0.25</v>
      </c>
    </row>
    <row r="257" spans="1:12" s="65" customFormat="1" ht="18" customHeight="1">
      <c r="B257" s="74" t="s">
        <v>236</v>
      </c>
      <c r="C257" s="64" t="s">
        <v>237</v>
      </c>
      <c r="D257" s="69">
        <v>60</v>
      </c>
      <c r="E257" s="68">
        <v>8.64</v>
      </c>
      <c r="F257" s="68">
        <v>6.62</v>
      </c>
      <c r="G257" s="68">
        <v>5.28</v>
      </c>
      <c r="H257" s="68">
        <v>115</v>
      </c>
      <c r="I257" s="68">
        <v>0.26</v>
      </c>
      <c r="J257" s="68">
        <v>8.9</v>
      </c>
      <c r="K257" s="68">
        <v>11.7</v>
      </c>
      <c r="L257" s="68">
        <v>0.7</v>
      </c>
    </row>
    <row r="258" spans="1:12" s="65" customFormat="1" ht="18" customHeight="1">
      <c r="B258" s="127" t="s">
        <v>152</v>
      </c>
      <c r="C258" s="64" t="s">
        <v>153</v>
      </c>
      <c r="D258" s="128">
        <v>100</v>
      </c>
      <c r="E258" s="68">
        <v>1.7</v>
      </c>
      <c r="F258" s="68">
        <v>2.7</v>
      </c>
      <c r="G258" s="68">
        <v>13.1</v>
      </c>
      <c r="H258" s="68">
        <v>87</v>
      </c>
      <c r="I258" s="68">
        <v>3.6</v>
      </c>
      <c r="J258" s="68">
        <v>8.9</v>
      </c>
      <c r="K258" s="68">
        <v>19.5</v>
      </c>
      <c r="L258" s="68">
        <v>0.7</v>
      </c>
    </row>
    <row r="259" spans="1:12" s="63" customFormat="1" ht="21.6" customHeight="1">
      <c r="B259" s="127" t="s">
        <v>123</v>
      </c>
      <c r="C259" s="64" t="s">
        <v>84</v>
      </c>
      <c r="D259" s="128">
        <v>180</v>
      </c>
      <c r="E259" s="68">
        <v>0.4</v>
      </c>
      <c r="F259" s="68">
        <v>0.02</v>
      </c>
      <c r="G259" s="68">
        <v>19</v>
      </c>
      <c r="H259" s="68">
        <v>77.7</v>
      </c>
      <c r="I259" s="68">
        <v>0.36</v>
      </c>
      <c r="J259" s="68">
        <v>28.54</v>
      </c>
      <c r="K259" s="68">
        <v>5.4</v>
      </c>
      <c r="L259" s="68">
        <v>1.1100000000000001</v>
      </c>
    </row>
    <row r="260" spans="1:12" s="65" customFormat="1" ht="18" customHeight="1">
      <c r="B260" s="69" t="s">
        <v>262</v>
      </c>
      <c r="C260" s="64" t="s">
        <v>260</v>
      </c>
      <c r="D260" s="131">
        <v>95</v>
      </c>
      <c r="E260" s="68">
        <v>0.38</v>
      </c>
      <c r="F260" s="68">
        <v>0.28000000000000003</v>
      </c>
      <c r="G260" s="68">
        <v>9.8000000000000007</v>
      </c>
      <c r="H260" s="68">
        <v>44</v>
      </c>
      <c r="I260" s="68">
        <v>4.75</v>
      </c>
      <c r="J260" s="68">
        <v>18</v>
      </c>
      <c r="K260" s="68">
        <v>11</v>
      </c>
      <c r="L260" s="68">
        <v>2.2000000000000002</v>
      </c>
    </row>
    <row r="261" spans="1:12" ht="18" customHeight="1">
      <c r="A261" s="35">
        <v>8</v>
      </c>
      <c r="B261" s="36"/>
      <c r="C261" s="36" t="s">
        <v>14</v>
      </c>
      <c r="D261" s="37">
        <v>380</v>
      </c>
      <c r="E261" s="36">
        <f t="shared" ref="E261:L261" si="64">SUM(E256:E259)</f>
        <v>11.22</v>
      </c>
      <c r="F261" s="110">
        <f t="shared" si="64"/>
        <v>11.555</v>
      </c>
      <c r="G261" s="110">
        <f t="shared" si="64"/>
        <v>39.879999999999995</v>
      </c>
      <c r="H261" s="110">
        <f t="shared" si="64"/>
        <v>312.68</v>
      </c>
      <c r="I261" s="110">
        <f t="shared" si="64"/>
        <v>15.309999999999999</v>
      </c>
      <c r="J261" s="110">
        <f t="shared" si="64"/>
        <v>56.765000000000001</v>
      </c>
      <c r="K261" s="110">
        <f t="shared" si="64"/>
        <v>43.33</v>
      </c>
      <c r="L261" s="110">
        <f t="shared" si="64"/>
        <v>2.76</v>
      </c>
    </row>
    <row r="262" spans="1:12" ht="18" customHeight="1">
      <c r="A262" s="35">
        <v>8</v>
      </c>
      <c r="B262" s="36"/>
      <c r="C262" s="36" t="s">
        <v>23</v>
      </c>
      <c r="D262" s="37">
        <f>D261+D252+D249+D242+D239</f>
        <v>1485</v>
      </c>
      <c r="E262" s="36">
        <f>E239+E249+E261+E252</f>
        <v>30.76</v>
      </c>
      <c r="F262" s="85">
        <f t="shared" ref="F262:L262" si="65">F239+F249+F261</f>
        <v>35.814999999999998</v>
      </c>
      <c r="G262" s="85">
        <f t="shared" si="65"/>
        <v>89.06</v>
      </c>
      <c r="H262" s="85">
        <f>H239+H249+H261+H252+H242</f>
        <v>914.41000000000008</v>
      </c>
      <c r="I262" s="85">
        <f t="shared" si="65"/>
        <v>27.199999999999996</v>
      </c>
      <c r="J262" s="85">
        <f t="shared" si="65"/>
        <v>143.39500000000001</v>
      </c>
      <c r="K262" s="85">
        <f t="shared" si="65"/>
        <v>135.34999999999997</v>
      </c>
      <c r="L262" s="85">
        <f t="shared" si="65"/>
        <v>6.9799999999999995</v>
      </c>
    </row>
    <row r="263" spans="1:12" s="65" customFormat="1" ht="20.100000000000001" customHeight="1">
      <c r="B263" s="121"/>
      <c r="C263" s="121" t="s">
        <v>93</v>
      </c>
      <c r="D263" s="122"/>
      <c r="E263" s="121">
        <v>42</v>
      </c>
      <c r="F263" s="121">
        <v>47</v>
      </c>
      <c r="G263" s="121">
        <v>203</v>
      </c>
      <c r="H263" s="121">
        <v>1400</v>
      </c>
      <c r="I263" s="121">
        <v>45</v>
      </c>
      <c r="J263" s="121">
        <v>800</v>
      </c>
      <c r="K263" s="121">
        <v>80</v>
      </c>
      <c r="L263" s="121">
        <v>10</v>
      </c>
    </row>
    <row r="264" spans="1:12" s="65" customFormat="1" ht="20.100000000000001" customHeight="1">
      <c r="B264" s="123"/>
      <c r="C264" s="123" t="s">
        <v>94</v>
      </c>
      <c r="D264" s="124"/>
      <c r="E264" s="123">
        <f>ROUND(E262/E263*100-100,2)</f>
        <v>-26.76</v>
      </c>
      <c r="F264" s="123">
        <f t="shared" ref="F264:L264" si="66">ROUND(F262/F263*100-100,2)</f>
        <v>-23.8</v>
      </c>
      <c r="G264" s="123">
        <f t="shared" si="66"/>
        <v>-56.13</v>
      </c>
      <c r="H264" s="123">
        <f t="shared" si="66"/>
        <v>-34.69</v>
      </c>
      <c r="I264" s="123">
        <f t="shared" si="66"/>
        <v>-39.56</v>
      </c>
      <c r="J264" s="123">
        <f t="shared" si="66"/>
        <v>-82.08</v>
      </c>
      <c r="K264" s="123">
        <f t="shared" si="66"/>
        <v>69.19</v>
      </c>
      <c r="L264" s="123">
        <f t="shared" si="66"/>
        <v>-30.2</v>
      </c>
    </row>
    <row r="265" spans="1:12" s="30" customFormat="1" ht="20.100000000000001" customHeight="1">
      <c r="B265" s="31" t="s">
        <v>73</v>
      </c>
      <c r="C265" s="32"/>
      <c r="D265" s="41"/>
      <c r="E265" s="42"/>
      <c r="F265" s="42"/>
      <c r="G265" s="42"/>
      <c r="H265" s="42"/>
      <c r="I265" s="42"/>
      <c r="J265" s="42"/>
      <c r="K265" s="42"/>
      <c r="L265" s="42"/>
    </row>
    <row r="266" spans="1:12" s="30" customFormat="1" ht="20.100000000000001" customHeight="1">
      <c r="B266" s="31" t="s">
        <v>70</v>
      </c>
      <c r="C266" s="32"/>
      <c r="D266" s="41"/>
      <c r="E266" s="42"/>
      <c r="F266" s="42"/>
      <c r="G266" s="42"/>
      <c r="H266" s="42"/>
      <c r="I266" s="42"/>
      <c r="J266" s="42"/>
      <c r="K266" s="42"/>
      <c r="L266" s="42"/>
    </row>
    <row r="267" spans="1:12" s="30" customFormat="1">
      <c r="B267" s="31" t="s">
        <v>95</v>
      </c>
      <c r="C267" s="32"/>
      <c r="D267" s="33"/>
      <c r="E267" s="34"/>
      <c r="F267" s="34"/>
      <c r="G267" s="34"/>
      <c r="H267" s="34"/>
      <c r="I267" s="34"/>
      <c r="J267" s="34"/>
      <c r="K267" s="34"/>
      <c r="L267" s="34"/>
    </row>
    <row r="268" spans="1:12" s="30" customFormat="1" ht="33.75" customHeight="1">
      <c r="B268" s="139" t="s">
        <v>0</v>
      </c>
      <c r="C268" s="139" t="s">
        <v>1</v>
      </c>
      <c r="D268" s="140" t="s">
        <v>2</v>
      </c>
      <c r="E268" s="138" t="s">
        <v>3</v>
      </c>
      <c r="F268" s="138"/>
      <c r="G268" s="138"/>
      <c r="H268" s="138" t="s">
        <v>4</v>
      </c>
      <c r="I268" s="100"/>
      <c r="J268" s="138" t="s">
        <v>5</v>
      </c>
      <c r="K268" s="138"/>
      <c r="L268" s="138"/>
    </row>
    <row r="269" spans="1:12" s="30" customFormat="1" ht="41.25" customHeight="1">
      <c r="B269" s="139"/>
      <c r="C269" s="139"/>
      <c r="D269" s="140"/>
      <c r="E269" s="36" t="s">
        <v>6</v>
      </c>
      <c r="F269" s="36" t="s">
        <v>7</v>
      </c>
      <c r="G269" s="36" t="s">
        <v>8</v>
      </c>
      <c r="H269" s="138"/>
      <c r="I269" s="36" t="s">
        <v>9</v>
      </c>
      <c r="J269" s="36" t="s">
        <v>10</v>
      </c>
      <c r="K269" s="36" t="s">
        <v>11</v>
      </c>
      <c r="L269" s="36" t="s">
        <v>12</v>
      </c>
    </row>
    <row r="270" spans="1:12" ht="18" customHeight="1">
      <c r="A270" s="35">
        <v>9</v>
      </c>
      <c r="B270" s="138" t="s">
        <v>248</v>
      </c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</row>
    <row r="271" spans="1:12" ht="24.6" customHeight="1">
      <c r="B271" s="128" t="s">
        <v>131</v>
      </c>
      <c r="C271" s="50" t="s">
        <v>132</v>
      </c>
      <c r="D271" s="69">
        <v>150</v>
      </c>
      <c r="E271" s="68">
        <v>5.86</v>
      </c>
      <c r="F271" s="68">
        <v>6.82</v>
      </c>
      <c r="G271" s="68">
        <v>7.5</v>
      </c>
      <c r="H271" s="68">
        <v>114.75</v>
      </c>
      <c r="I271" s="68">
        <v>0.42</v>
      </c>
      <c r="J271" s="68">
        <v>63.8</v>
      </c>
      <c r="K271" s="68">
        <v>14.5</v>
      </c>
      <c r="L271" s="68">
        <v>0.4</v>
      </c>
    </row>
    <row r="272" spans="1:12" ht="18" customHeight="1">
      <c r="B272" s="127" t="s">
        <v>112</v>
      </c>
      <c r="C272" s="50" t="s">
        <v>90</v>
      </c>
      <c r="D272" s="69" t="s">
        <v>113</v>
      </c>
      <c r="E272" s="68">
        <v>0.01</v>
      </c>
      <c r="F272" s="68">
        <v>0.01</v>
      </c>
      <c r="G272" s="68">
        <v>4.99</v>
      </c>
      <c r="H272" s="68">
        <v>19.95</v>
      </c>
      <c r="I272" s="68">
        <v>0.02</v>
      </c>
      <c r="J272" s="68">
        <v>7.94</v>
      </c>
      <c r="K272" s="68">
        <v>0.9</v>
      </c>
      <c r="L272" s="68">
        <v>0.18</v>
      </c>
    </row>
    <row r="273" spans="1:12" ht="18" customHeight="1">
      <c r="A273" s="35">
        <v>9</v>
      </c>
      <c r="B273" s="36"/>
      <c r="C273" s="74" t="s">
        <v>14</v>
      </c>
      <c r="D273" s="37">
        <v>305</v>
      </c>
      <c r="E273" s="51">
        <f t="shared" ref="E273:L273" si="67">SUM(E271:E272)</f>
        <v>5.87</v>
      </c>
      <c r="F273" s="51">
        <f t="shared" si="67"/>
        <v>6.83</v>
      </c>
      <c r="G273" s="51">
        <f t="shared" si="67"/>
        <v>12.49</v>
      </c>
      <c r="H273" s="51">
        <f t="shared" si="67"/>
        <v>134.69999999999999</v>
      </c>
      <c r="I273" s="51">
        <f t="shared" si="67"/>
        <v>0.44</v>
      </c>
      <c r="J273" s="51">
        <f t="shared" si="67"/>
        <v>71.739999999999995</v>
      </c>
      <c r="K273" s="51">
        <f t="shared" si="67"/>
        <v>15.4</v>
      </c>
      <c r="L273" s="51">
        <f t="shared" si="67"/>
        <v>0.58000000000000007</v>
      </c>
    </row>
    <row r="274" spans="1:12" s="65" customFormat="1" ht="18" customHeight="1">
      <c r="B274" s="135" t="s">
        <v>249</v>
      </c>
      <c r="C274" s="136"/>
      <c r="D274" s="136"/>
      <c r="E274" s="136"/>
      <c r="F274" s="136"/>
      <c r="G274" s="136"/>
      <c r="H274" s="136"/>
      <c r="I274" s="136"/>
      <c r="J274" s="136"/>
      <c r="K274" s="136"/>
      <c r="L274" s="137"/>
    </row>
    <row r="275" spans="1:12" s="65" customFormat="1" ht="18" customHeight="1">
      <c r="B275" s="127" t="s">
        <v>114</v>
      </c>
      <c r="C275" s="64" t="s">
        <v>85</v>
      </c>
      <c r="D275" s="69">
        <v>150</v>
      </c>
      <c r="E275" s="38">
        <v>0.75</v>
      </c>
      <c r="F275" s="38">
        <v>0</v>
      </c>
      <c r="G275" s="38">
        <v>15.15</v>
      </c>
      <c r="H275" s="38">
        <v>64</v>
      </c>
      <c r="I275" s="38">
        <v>3</v>
      </c>
      <c r="J275" s="38">
        <v>10.5</v>
      </c>
      <c r="K275" s="38">
        <v>6</v>
      </c>
      <c r="L275" s="38">
        <v>2.1</v>
      </c>
    </row>
    <row r="276" spans="1:12" s="65" customFormat="1" ht="18" customHeight="1">
      <c r="B276" s="74"/>
      <c r="C276" s="74" t="s">
        <v>14</v>
      </c>
      <c r="D276" s="75">
        <f>D275</f>
        <v>150</v>
      </c>
      <c r="E276" s="51">
        <f>E275</f>
        <v>0.75</v>
      </c>
      <c r="F276" s="51">
        <f t="shared" ref="F276:L276" si="68">F275</f>
        <v>0</v>
      </c>
      <c r="G276" s="51">
        <f t="shared" si="68"/>
        <v>15.15</v>
      </c>
      <c r="H276" s="51">
        <f t="shared" si="68"/>
        <v>64</v>
      </c>
      <c r="I276" s="51">
        <f t="shared" si="68"/>
        <v>3</v>
      </c>
      <c r="J276" s="51">
        <f t="shared" si="68"/>
        <v>10.5</v>
      </c>
      <c r="K276" s="51">
        <f t="shared" si="68"/>
        <v>6</v>
      </c>
      <c r="L276" s="51">
        <f t="shared" si="68"/>
        <v>2.1</v>
      </c>
    </row>
    <row r="277" spans="1:12" s="65" customFormat="1" ht="18" customHeight="1">
      <c r="A277" s="65">
        <v>9</v>
      </c>
      <c r="B277" s="135" t="s">
        <v>250</v>
      </c>
      <c r="C277" s="136"/>
      <c r="D277" s="136"/>
      <c r="E277" s="136"/>
      <c r="F277" s="136"/>
      <c r="G277" s="136"/>
      <c r="H277" s="136"/>
      <c r="I277" s="136"/>
      <c r="J277" s="136"/>
      <c r="K277" s="136"/>
      <c r="L277" s="137"/>
    </row>
    <row r="278" spans="1:12" ht="18" customHeight="1">
      <c r="A278" s="35">
        <v>9</v>
      </c>
      <c r="B278" s="127" t="s">
        <v>133</v>
      </c>
      <c r="C278" s="64" t="s">
        <v>134</v>
      </c>
      <c r="D278" s="128">
        <v>40</v>
      </c>
      <c r="E278" s="43">
        <v>0.6</v>
      </c>
      <c r="F278" s="43">
        <v>2.4</v>
      </c>
      <c r="G278" s="43">
        <v>3.1</v>
      </c>
      <c r="H278" s="43">
        <v>37</v>
      </c>
      <c r="I278" s="43">
        <v>13.9</v>
      </c>
      <c r="J278" s="43">
        <v>16.2</v>
      </c>
      <c r="K278" s="43">
        <v>12.8</v>
      </c>
      <c r="L278" s="43">
        <v>0.3</v>
      </c>
    </row>
    <row r="279" spans="1:12" ht="18" customHeight="1">
      <c r="B279" s="74" t="s">
        <v>117</v>
      </c>
      <c r="C279" s="22" t="s">
        <v>245</v>
      </c>
      <c r="D279" s="69">
        <v>200</v>
      </c>
      <c r="E279" s="68">
        <v>1.58</v>
      </c>
      <c r="F279" s="68">
        <v>2.1</v>
      </c>
      <c r="G279" s="68">
        <v>11.6</v>
      </c>
      <c r="H279" s="68">
        <v>72.599999999999994</v>
      </c>
      <c r="I279" s="68">
        <v>6.6</v>
      </c>
      <c r="J279" s="68">
        <v>18.399999999999999</v>
      </c>
      <c r="K279" s="68">
        <v>20</v>
      </c>
      <c r="L279" s="68">
        <v>0.7</v>
      </c>
    </row>
    <row r="280" spans="1:12" ht="18" customHeight="1">
      <c r="B280" s="74" t="s">
        <v>246</v>
      </c>
      <c r="C280" s="64" t="s">
        <v>247</v>
      </c>
      <c r="D280" s="37">
        <v>60</v>
      </c>
      <c r="E280" s="68">
        <v>6.7</v>
      </c>
      <c r="F280" s="68">
        <v>7.6</v>
      </c>
      <c r="G280" s="68">
        <v>4.0999999999999996</v>
      </c>
      <c r="H280" s="68">
        <v>113</v>
      </c>
      <c r="I280" s="68">
        <v>0.8</v>
      </c>
      <c r="J280" s="68">
        <v>8.6</v>
      </c>
      <c r="K280" s="68">
        <v>12.4</v>
      </c>
      <c r="L280" s="68">
        <v>1.1000000000000001</v>
      </c>
    </row>
    <row r="281" spans="1:12" ht="18" customHeight="1">
      <c r="B281" s="74" t="s">
        <v>159</v>
      </c>
      <c r="C281" s="64" t="s">
        <v>160</v>
      </c>
      <c r="D281" s="75">
        <v>110</v>
      </c>
      <c r="E281" s="68">
        <v>1.64</v>
      </c>
      <c r="F281" s="68">
        <v>3.8</v>
      </c>
      <c r="G281" s="68">
        <v>10.4</v>
      </c>
      <c r="H281" s="68">
        <v>82.4</v>
      </c>
      <c r="I281" s="68">
        <v>8</v>
      </c>
      <c r="J281" s="68">
        <v>21.3</v>
      </c>
      <c r="K281" s="68">
        <v>23.2</v>
      </c>
      <c r="L281" s="68">
        <v>0.6</v>
      </c>
    </row>
    <row r="282" spans="1:12" ht="18" customHeight="1">
      <c r="A282" s="35">
        <v>9</v>
      </c>
      <c r="B282" s="47" t="s">
        <v>88</v>
      </c>
      <c r="C282" s="48" t="s">
        <v>204</v>
      </c>
      <c r="D282" s="49">
        <v>180</v>
      </c>
      <c r="E282" s="68">
        <v>0.18</v>
      </c>
      <c r="F282" s="68">
        <v>0.09</v>
      </c>
      <c r="G282" s="68">
        <v>10.98</v>
      </c>
      <c r="H282" s="68">
        <v>44.1</v>
      </c>
      <c r="I282" s="68">
        <v>1.44</v>
      </c>
      <c r="J282" s="68">
        <v>5.29</v>
      </c>
      <c r="K282" s="68">
        <v>2.82</v>
      </c>
      <c r="L282" s="68">
        <v>0.7</v>
      </c>
    </row>
    <row r="283" spans="1:12" ht="18" customHeight="1">
      <c r="A283" s="35">
        <v>9</v>
      </c>
      <c r="B283" s="36"/>
      <c r="C283" s="134" t="s">
        <v>266</v>
      </c>
      <c r="D283" s="37">
        <f t="shared" ref="D283:L283" si="69">SUM(D278:D282)</f>
        <v>590</v>
      </c>
      <c r="E283" s="74">
        <f t="shared" si="69"/>
        <v>10.700000000000001</v>
      </c>
      <c r="F283" s="74">
        <f t="shared" si="69"/>
        <v>15.989999999999998</v>
      </c>
      <c r="G283" s="74">
        <f t="shared" si="69"/>
        <v>40.179999999999993</v>
      </c>
      <c r="H283" s="74">
        <f t="shared" si="69"/>
        <v>349.1</v>
      </c>
      <c r="I283" s="74">
        <f t="shared" si="69"/>
        <v>30.740000000000002</v>
      </c>
      <c r="J283" s="74">
        <f t="shared" si="69"/>
        <v>69.790000000000006</v>
      </c>
      <c r="K283" s="74">
        <f t="shared" si="69"/>
        <v>71.219999999999985</v>
      </c>
      <c r="L283" s="74">
        <f t="shared" si="69"/>
        <v>3.4000000000000004</v>
      </c>
    </row>
    <row r="284" spans="1:12" ht="18" customHeight="1">
      <c r="B284" s="138" t="s">
        <v>251</v>
      </c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</row>
    <row r="285" spans="1:12" s="65" customFormat="1" ht="18" customHeight="1">
      <c r="B285" s="134" t="s">
        <v>268</v>
      </c>
      <c r="C285" s="64" t="s">
        <v>154</v>
      </c>
      <c r="D285" s="69">
        <v>100</v>
      </c>
      <c r="E285" s="68">
        <v>0.6</v>
      </c>
      <c r="F285" s="68">
        <v>0.1</v>
      </c>
      <c r="G285" s="68">
        <v>5.5</v>
      </c>
      <c r="H285" s="68">
        <v>26</v>
      </c>
      <c r="I285" s="68">
        <v>2.19</v>
      </c>
      <c r="J285" s="68">
        <v>14</v>
      </c>
      <c r="K285" s="68">
        <v>15</v>
      </c>
      <c r="L285" s="68">
        <v>0.92</v>
      </c>
    </row>
    <row r="286" spans="1:12" s="65" customFormat="1" ht="18" customHeight="1">
      <c r="B286" s="85"/>
      <c r="C286" s="85" t="s">
        <v>14</v>
      </c>
      <c r="D286" s="69">
        <f t="shared" ref="D286:L286" si="70">SUM(D285)</f>
        <v>100</v>
      </c>
      <c r="E286" s="85">
        <f t="shared" si="70"/>
        <v>0.6</v>
      </c>
      <c r="F286" s="85">
        <f t="shared" si="70"/>
        <v>0.1</v>
      </c>
      <c r="G286" s="85">
        <f t="shared" si="70"/>
        <v>5.5</v>
      </c>
      <c r="H286" s="85">
        <f t="shared" si="70"/>
        <v>26</v>
      </c>
      <c r="I286" s="85">
        <f t="shared" si="70"/>
        <v>2.19</v>
      </c>
      <c r="J286" s="85">
        <f t="shared" si="70"/>
        <v>14</v>
      </c>
      <c r="K286" s="85">
        <f t="shared" si="70"/>
        <v>15</v>
      </c>
      <c r="L286" s="85">
        <f t="shared" si="70"/>
        <v>0.92</v>
      </c>
    </row>
    <row r="287" spans="1:12" s="65" customFormat="1" ht="18" customHeight="1">
      <c r="B287" s="135" t="s">
        <v>252</v>
      </c>
      <c r="C287" s="136"/>
      <c r="D287" s="136"/>
      <c r="E287" s="136"/>
      <c r="F287" s="136"/>
      <c r="G287" s="136"/>
      <c r="H287" s="136"/>
      <c r="I287" s="136"/>
      <c r="J287" s="136"/>
      <c r="K287" s="136"/>
      <c r="L287" s="137"/>
    </row>
    <row r="288" spans="1:12" ht="18" customHeight="1">
      <c r="B288" s="127" t="s">
        <v>185</v>
      </c>
      <c r="C288" s="64" t="s">
        <v>186</v>
      </c>
      <c r="D288" s="69">
        <v>50</v>
      </c>
      <c r="E288" s="68">
        <v>0.6</v>
      </c>
      <c r="F288" s="68">
        <v>3</v>
      </c>
      <c r="G288" s="68">
        <v>4.4000000000000004</v>
      </c>
      <c r="H288" s="68">
        <v>48</v>
      </c>
      <c r="I288" s="68">
        <v>0.8</v>
      </c>
      <c r="J288" s="68">
        <v>12</v>
      </c>
      <c r="K288" s="68">
        <v>16.8</v>
      </c>
      <c r="L288" s="68">
        <v>0.3</v>
      </c>
    </row>
    <row r="289" spans="1:12" s="65" customFormat="1" ht="18" customHeight="1">
      <c r="B289" s="127" t="s">
        <v>135</v>
      </c>
      <c r="C289" s="64" t="s">
        <v>89</v>
      </c>
      <c r="D289" s="128">
        <v>40</v>
      </c>
      <c r="E289" s="68">
        <v>0.3</v>
      </c>
      <c r="F289" s="68">
        <v>2.44</v>
      </c>
      <c r="G289" s="68">
        <v>0.9</v>
      </c>
      <c r="H289" s="68">
        <v>27</v>
      </c>
      <c r="I289" s="68">
        <v>3.7</v>
      </c>
      <c r="J289" s="68">
        <v>9.1999999999999993</v>
      </c>
      <c r="K289" s="68">
        <v>5.2</v>
      </c>
      <c r="L289" s="68">
        <v>0.2</v>
      </c>
    </row>
    <row r="290" spans="1:12" s="65" customFormat="1" ht="18" customHeight="1">
      <c r="B290" s="127"/>
      <c r="C290" s="64" t="s">
        <v>39</v>
      </c>
      <c r="D290" s="128"/>
      <c r="E290" s="127">
        <f>SUM(E288:E289)/2</f>
        <v>0.44999999999999996</v>
      </c>
      <c r="F290" s="127">
        <f t="shared" ref="F290:L290" si="71">SUM(F288:F289)/2</f>
        <v>2.7199999999999998</v>
      </c>
      <c r="G290" s="127">
        <f t="shared" si="71"/>
        <v>2.6500000000000004</v>
      </c>
      <c r="H290" s="127">
        <f t="shared" si="71"/>
        <v>37.5</v>
      </c>
      <c r="I290" s="127">
        <f t="shared" si="71"/>
        <v>2.25</v>
      </c>
      <c r="J290" s="127">
        <f t="shared" si="71"/>
        <v>10.6</v>
      </c>
      <c r="K290" s="127">
        <f t="shared" si="71"/>
        <v>11</v>
      </c>
      <c r="L290" s="127">
        <f t="shared" si="71"/>
        <v>0.25</v>
      </c>
    </row>
    <row r="291" spans="1:12" s="65" customFormat="1" ht="18" customHeight="1">
      <c r="B291" s="127" t="s">
        <v>157</v>
      </c>
      <c r="C291" s="64" t="s">
        <v>158</v>
      </c>
      <c r="D291" s="128">
        <v>60</v>
      </c>
      <c r="E291" s="68">
        <v>10.5</v>
      </c>
      <c r="F291" s="68">
        <v>5.77</v>
      </c>
      <c r="G291" s="68">
        <v>6.64</v>
      </c>
      <c r="H291" s="68">
        <v>120.69</v>
      </c>
      <c r="I291" s="68">
        <v>0.6</v>
      </c>
      <c r="J291" s="68">
        <v>26.5</v>
      </c>
      <c r="K291" s="68">
        <v>27.1</v>
      </c>
      <c r="L291" s="68">
        <v>0.69</v>
      </c>
    </row>
    <row r="292" spans="1:12" s="65" customFormat="1" ht="18" customHeight="1">
      <c r="B292" s="127" t="s">
        <v>227</v>
      </c>
      <c r="C292" s="64" t="s">
        <v>228</v>
      </c>
      <c r="D292" s="128">
        <v>110</v>
      </c>
      <c r="E292" s="68">
        <v>2.35</v>
      </c>
      <c r="F292" s="68">
        <v>3.58</v>
      </c>
      <c r="G292" s="68">
        <v>10.5</v>
      </c>
      <c r="H292" s="68">
        <v>83.4</v>
      </c>
      <c r="I292" s="68">
        <v>0</v>
      </c>
      <c r="J292" s="68">
        <v>3.66</v>
      </c>
      <c r="K292" s="68">
        <v>36.6</v>
      </c>
      <c r="L292" s="68">
        <v>1.22</v>
      </c>
    </row>
    <row r="293" spans="1:12" s="65" customFormat="1" ht="18" customHeight="1">
      <c r="B293" s="127" t="s">
        <v>146</v>
      </c>
      <c r="C293" s="64" t="s">
        <v>147</v>
      </c>
      <c r="D293" s="69">
        <v>150</v>
      </c>
      <c r="E293" s="68">
        <v>0.4</v>
      </c>
      <c r="F293" s="68">
        <v>0.1</v>
      </c>
      <c r="G293" s="68">
        <v>11.1</v>
      </c>
      <c r="H293" s="68">
        <v>46</v>
      </c>
      <c r="I293" s="68">
        <v>0.6</v>
      </c>
      <c r="J293" s="68">
        <v>5.2</v>
      </c>
      <c r="K293" s="68">
        <v>2.85</v>
      </c>
      <c r="L293" s="68">
        <v>1</v>
      </c>
    </row>
    <row r="294" spans="1:12" s="65" customFormat="1" ht="18" customHeight="1">
      <c r="B294" s="69" t="s">
        <v>262</v>
      </c>
      <c r="C294" s="64" t="s">
        <v>264</v>
      </c>
      <c r="D294" s="128">
        <v>120</v>
      </c>
      <c r="E294" s="68">
        <v>0.48</v>
      </c>
      <c r="F294" s="68">
        <v>0.48</v>
      </c>
      <c r="G294" s="68">
        <v>11.76</v>
      </c>
      <c r="H294" s="68">
        <v>56</v>
      </c>
      <c r="I294" s="68">
        <v>12</v>
      </c>
      <c r="J294" s="68">
        <v>19.2</v>
      </c>
      <c r="K294" s="68">
        <v>10.8</v>
      </c>
      <c r="L294" s="68">
        <v>2.64</v>
      </c>
    </row>
    <row r="295" spans="1:12" s="65" customFormat="1" ht="18" customHeight="1">
      <c r="B295" s="112"/>
      <c r="C295" s="112" t="s">
        <v>14</v>
      </c>
      <c r="D295" s="113">
        <v>490</v>
      </c>
      <c r="E295" s="112">
        <f t="shared" ref="E295:L295" si="72">SUM(E290:E294)</f>
        <v>14.18</v>
      </c>
      <c r="F295" s="126">
        <f t="shared" si="72"/>
        <v>12.649999999999999</v>
      </c>
      <c r="G295" s="126">
        <f t="shared" si="72"/>
        <v>42.65</v>
      </c>
      <c r="H295" s="126">
        <f t="shared" si="72"/>
        <v>343.59000000000003</v>
      </c>
      <c r="I295" s="126">
        <f t="shared" si="72"/>
        <v>15.45</v>
      </c>
      <c r="J295" s="126">
        <f t="shared" si="72"/>
        <v>65.160000000000011</v>
      </c>
      <c r="K295" s="126">
        <f t="shared" si="72"/>
        <v>88.35</v>
      </c>
      <c r="L295" s="126">
        <f t="shared" si="72"/>
        <v>5.8000000000000007</v>
      </c>
    </row>
    <row r="296" spans="1:12" ht="18" customHeight="1">
      <c r="A296" s="35">
        <v>9</v>
      </c>
      <c r="B296" s="36"/>
      <c r="C296" s="74" t="s">
        <v>24</v>
      </c>
      <c r="D296" s="37">
        <f>D273+D276+D283+D295+D286</f>
        <v>1635</v>
      </c>
      <c r="E296" s="74">
        <f t="shared" ref="E296:L296" si="73">E273+E276+E283+E295+E286</f>
        <v>32.1</v>
      </c>
      <c r="F296" s="112">
        <f t="shared" si="73"/>
        <v>35.57</v>
      </c>
      <c r="G296" s="112">
        <f t="shared" si="73"/>
        <v>115.97</v>
      </c>
      <c r="H296" s="112">
        <f>H273+H276+H283+H295+H286</f>
        <v>917.39</v>
      </c>
      <c r="I296" s="112">
        <f t="shared" si="73"/>
        <v>51.819999999999993</v>
      </c>
      <c r="J296" s="112">
        <f t="shared" si="73"/>
        <v>231.19</v>
      </c>
      <c r="K296" s="112">
        <f t="shared" si="73"/>
        <v>195.96999999999997</v>
      </c>
      <c r="L296" s="112">
        <f t="shared" si="73"/>
        <v>12.8</v>
      </c>
    </row>
    <row r="297" spans="1:12" s="65" customFormat="1" ht="20.100000000000001" customHeight="1">
      <c r="B297" s="121"/>
      <c r="C297" s="121" t="s">
        <v>93</v>
      </c>
      <c r="D297" s="122"/>
      <c r="E297" s="121">
        <v>42</v>
      </c>
      <c r="F297" s="121">
        <v>47</v>
      </c>
      <c r="G297" s="121">
        <v>203</v>
      </c>
      <c r="H297" s="121">
        <v>1400</v>
      </c>
      <c r="I297" s="121">
        <v>45</v>
      </c>
      <c r="J297" s="121">
        <v>800</v>
      </c>
      <c r="K297" s="121">
        <v>80</v>
      </c>
      <c r="L297" s="121">
        <v>10</v>
      </c>
    </row>
    <row r="298" spans="1:12" s="65" customFormat="1" ht="20.100000000000001" customHeight="1">
      <c r="B298" s="123"/>
      <c r="C298" s="123" t="s">
        <v>94</v>
      </c>
      <c r="D298" s="124"/>
      <c r="E298" s="123">
        <f>ROUND(E296/E297*100-100,2)</f>
        <v>-23.57</v>
      </c>
      <c r="F298" s="123">
        <f t="shared" ref="F298:L298" si="74">ROUND(F296/F297*100-100,2)</f>
        <v>-24.32</v>
      </c>
      <c r="G298" s="123">
        <f t="shared" si="74"/>
        <v>-42.87</v>
      </c>
      <c r="H298" s="123">
        <f t="shared" si="74"/>
        <v>-34.47</v>
      </c>
      <c r="I298" s="123">
        <f t="shared" si="74"/>
        <v>15.16</v>
      </c>
      <c r="J298" s="123">
        <f t="shared" si="74"/>
        <v>-71.099999999999994</v>
      </c>
      <c r="K298" s="123">
        <f t="shared" si="74"/>
        <v>144.96</v>
      </c>
      <c r="L298" s="123">
        <f t="shared" si="74"/>
        <v>28</v>
      </c>
    </row>
    <row r="299" spans="1:12" s="30" customFormat="1" ht="20.100000000000001" customHeight="1">
      <c r="B299" s="31" t="s">
        <v>74</v>
      </c>
      <c r="C299" s="32"/>
      <c r="D299" s="41"/>
      <c r="E299" s="42"/>
      <c r="F299" s="42"/>
      <c r="G299" s="42"/>
      <c r="H299" s="42"/>
      <c r="I299" s="42"/>
      <c r="J299" s="42"/>
      <c r="K299" s="42"/>
      <c r="L299" s="42"/>
    </row>
    <row r="300" spans="1:12" s="30" customFormat="1" ht="20.100000000000001" customHeight="1">
      <c r="B300" s="31" t="s">
        <v>70</v>
      </c>
      <c r="C300" s="32"/>
      <c r="D300" s="41"/>
      <c r="E300" s="42"/>
      <c r="F300" s="42"/>
      <c r="G300" s="42"/>
      <c r="H300" s="42"/>
      <c r="I300" s="42"/>
      <c r="J300" s="42"/>
      <c r="K300" s="42"/>
      <c r="L300" s="42"/>
    </row>
    <row r="301" spans="1:12" s="30" customFormat="1" ht="15" customHeight="1">
      <c r="B301" s="31" t="s">
        <v>97</v>
      </c>
      <c r="C301" s="32"/>
      <c r="D301" s="33"/>
      <c r="E301" s="34"/>
      <c r="F301" s="34"/>
      <c r="G301" s="34"/>
      <c r="H301" s="34"/>
      <c r="I301" s="34"/>
      <c r="J301" s="34"/>
      <c r="K301" s="34"/>
      <c r="L301" s="34"/>
    </row>
    <row r="302" spans="1:12" s="30" customFormat="1" ht="20.100000000000001" hidden="1" customHeight="1">
      <c r="B302" s="40"/>
      <c r="C302" s="40"/>
      <c r="D302" s="41"/>
      <c r="E302" s="42"/>
      <c r="F302" s="42"/>
      <c r="G302" s="42"/>
      <c r="H302" s="42"/>
      <c r="I302" s="42"/>
      <c r="J302" s="42"/>
      <c r="K302" s="42"/>
      <c r="L302" s="42"/>
    </row>
    <row r="303" spans="1:12" s="30" customFormat="1" ht="37.5" customHeight="1">
      <c r="B303" s="139" t="s">
        <v>0</v>
      </c>
      <c r="C303" s="139" t="s">
        <v>1</v>
      </c>
      <c r="D303" s="140" t="s">
        <v>2</v>
      </c>
      <c r="E303" s="138" t="s">
        <v>3</v>
      </c>
      <c r="F303" s="138"/>
      <c r="G303" s="138"/>
      <c r="H303" s="138" t="s">
        <v>4</v>
      </c>
      <c r="I303" s="100"/>
      <c r="J303" s="138" t="s">
        <v>5</v>
      </c>
      <c r="K303" s="138"/>
      <c r="L303" s="138"/>
    </row>
    <row r="304" spans="1:12" s="30" customFormat="1" ht="42.75" customHeight="1">
      <c r="B304" s="139"/>
      <c r="C304" s="139"/>
      <c r="D304" s="140"/>
      <c r="E304" s="36" t="s">
        <v>6</v>
      </c>
      <c r="F304" s="36" t="s">
        <v>7</v>
      </c>
      <c r="G304" s="36" t="s">
        <v>8</v>
      </c>
      <c r="H304" s="138"/>
      <c r="I304" s="36" t="s">
        <v>9</v>
      </c>
      <c r="J304" s="36" t="s">
        <v>10</v>
      </c>
      <c r="K304" s="36" t="s">
        <v>11</v>
      </c>
      <c r="L304" s="36" t="s">
        <v>12</v>
      </c>
    </row>
    <row r="305" spans="1:12" ht="18" customHeight="1">
      <c r="A305" s="35">
        <v>10</v>
      </c>
      <c r="B305" s="138" t="s">
        <v>254</v>
      </c>
      <c r="C305" s="138"/>
      <c r="D305" s="138"/>
      <c r="E305" s="138"/>
      <c r="F305" s="138"/>
      <c r="G305" s="138"/>
      <c r="H305" s="143"/>
      <c r="I305" s="143"/>
      <c r="J305" s="143"/>
      <c r="K305" s="143"/>
      <c r="L305" s="143"/>
    </row>
    <row r="306" spans="1:12" ht="20.45" customHeight="1">
      <c r="A306" s="35">
        <v>10</v>
      </c>
      <c r="B306" s="51" t="s">
        <v>109</v>
      </c>
      <c r="C306" s="64" t="s">
        <v>148</v>
      </c>
      <c r="D306" s="129" t="s">
        <v>111</v>
      </c>
      <c r="E306" s="38">
        <v>5.19</v>
      </c>
      <c r="F306" s="38">
        <v>8</v>
      </c>
      <c r="G306" s="38">
        <v>9.58</v>
      </c>
      <c r="H306" s="38">
        <v>131</v>
      </c>
      <c r="I306" s="38">
        <v>0.17</v>
      </c>
      <c r="J306" s="38">
        <v>6.07</v>
      </c>
      <c r="K306" s="38">
        <v>37.200000000000003</v>
      </c>
      <c r="L306" s="38">
        <v>1.33</v>
      </c>
    </row>
    <row r="307" spans="1:12" ht="18" customHeight="1">
      <c r="B307" s="127" t="s">
        <v>112</v>
      </c>
      <c r="C307" s="50" t="s">
        <v>90</v>
      </c>
      <c r="D307" s="69" t="s">
        <v>113</v>
      </c>
      <c r="E307" s="68">
        <v>0.01</v>
      </c>
      <c r="F307" s="68">
        <v>0.01</v>
      </c>
      <c r="G307" s="68">
        <v>4.99</v>
      </c>
      <c r="H307" s="68">
        <v>19.95</v>
      </c>
      <c r="I307" s="68">
        <v>0.02</v>
      </c>
      <c r="J307" s="68">
        <v>7.94</v>
      </c>
      <c r="K307" s="68">
        <v>0.9</v>
      </c>
      <c r="L307" s="68">
        <v>0.18</v>
      </c>
    </row>
    <row r="308" spans="1:12" s="65" customFormat="1" ht="18" customHeight="1">
      <c r="A308" s="65">
        <v>10</v>
      </c>
      <c r="B308" s="74"/>
      <c r="C308" s="74" t="s">
        <v>14</v>
      </c>
      <c r="D308" s="75">
        <v>325</v>
      </c>
      <c r="E308" s="74">
        <f t="shared" ref="E308:L308" si="75">SUM(E306:E307)</f>
        <v>5.2</v>
      </c>
      <c r="F308" s="74">
        <f t="shared" si="75"/>
        <v>8.01</v>
      </c>
      <c r="G308" s="74">
        <f t="shared" si="75"/>
        <v>14.57</v>
      </c>
      <c r="H308" s="74">
        <f t="shared" si="75"/>
        <v>150.94999999999999</v>
      </c>
      <c r="I308" s="74">
        <f t="shared" si="75"/>
        <v>0.19</v>
      </c>
      <c r="J308" s="74">
        <f t="shared" si="75"/>
        <v>14.010000000000002</v>
      </c>
      <c r="K308" s="74">
        <f t="shared" si="75"/>
        <v>38.1</v>
      </c>
      <c r="L308" s="74">
        <f t="shared" si="75"/>
        <v>1.51</v>
      </c>
    </row>
    <row r="309" spans="1:12" s="65" customFormat="1" ht="18" customHeight="1">
      <c r="B309" s="135" t="s">
        <v>241</v>
      </c>
      <c r="C309" s="136"/>
      <c r="D309" s="136"/>
      <c r="E309" s="136"/>
      <c r="F309" s="136"/>
      <c r="G309" s="136"/>
      <c r="H309" s="136"/>
      <c r="I309" s="136"/>
      <c r="J309" s="136"/>
      <c r="K309" s="136"/>
      <c r="L309" s="137"/>
    </row>
    <row r="310" spans="1:12" s="65" customFormat="1" ht="18" customHeight="1">
      <c r="B310" s="52" t="s">
        <v>114</v>
      </c>
      <c r="C310" s="64" t="s">
        <v>85</v>
      </c>
      <c r="D310" s="75">
        <v>150</v>
      </c>
      <c r="E310" s="53">
        <v>0.75</v>
      </c>
      <c r="F310" s="53">
        <v>0</v>
      </c>
      <c r="G310" s="53">
        <v>15.15</v>
      </c>
      <c r="H310" s="53">
        <v>64</v>
      </c>
      <c r="I310" s="53">
        <v>3</v>
      </c>
      <c r="J310" s="53">
        <v>10.5</v>
      </c>
      <c r="K310" s="53">
        <v>6</v>
      </c>
      <c r="L310" s="53">
        <v>2.1</v>
      </c>
    </row>
    <row r="311" spans="1:12" s="65" customFormat="1" ht="18" customHeight="1">
      <c r="B311" s="52"/>
      <c r="C311" s="74" t="s">
        <v>14</v>
      </c>
      <c r="D311" s="75">
        <f>D310</f>
        <v>150</v>
      </c>
      <c r="E311" s="74">
        <f>E310</f>
        <v>0.75</v>
      </c>
      <c r="F311" s="112">
        <f t="shared" ref="F311:L311" si="76">F310</f>
        <v>0</v>
      </c>
      <c r="G311" s="112">
        <f t="shared" si="76"/>
        <v>15.15</v>
      </c>
      <c r="H311" s="112">
        <f t="shared" si="76"/>
        <v>64</v>
      </c>
      <c r="I311" s="112">
        <f t="shared" si="76"/>
        <v>3</v>
      </c>
      <c r="J311" s="112">
        <f t="shared" si="76"/>
        <v>10.5</v>
      </c>
      <c r="K311" s="112">
        <f t="shared" si="76"/>
        <v>6</v>
      </c>
      <c r="L311" s="112">
        <f t="shared" si="76"/>
        <v>2.1</v>
      </c>
    </row>
    <row r="312" spans="1:12" ht="18" customHeight="1">
      <c r="A312" s="35">
        <v>10</v>
      </c>
      <c r="B312" s="138" t="s">
        <v>255</v>
      </c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</row>
    <row r="313" spans="1:12" ht="18" customHeight="1">
      <c r="A313" s="35">
        <v>10</v>
      </c>
      <c r="B313" s="128" t="s">
        <v>115</v>
      </c>
      <c r="C313" s="64" t="s">
        <v>116</v>
      </c>
      <c r="D313" s="128">
        <v>50</v>
      </c>
      <c r="E313" s="68">
        <v>0.6</v>
      </c>
      <c r="F313" s="68">
        <v>3</v>
      </c>
      <c r="G313" s="68">
        <v>5</v>
      </c>
      <c r="H313" s="68">
        <v>51</v>
      </c>
      <c r="I313" s="68">
        <v>1.7</v>
      </c>
      <c r="J313" s="68">
        <v>14.6</v>
      </c>
      <c r="K313" s="68">
        <v>8.1</v>
      </c>
      <c r="L313" s="68">
        <v>0.7</v>
      </c>
    </row>
    <row r="314" spans="1:12" ht="23.25" customHeight="1">
      <c r="B314" s="74" t="s">
        <v>238</v>
      </c>
      <c r="C314" s="64" t="s">
        <v>258</v>
      </c>
      <c r="D314" s="69">
        <v>40</v>
      </c>
      <c r="E314" s="53">
        <v>0.4</v>
      </c>
      <c r="F314" s="53">
        <v>2.4</v>
      </c>
      <c r="G314" s="53">
        <v>1.4</v>
      </c>
      <c r="H314" s="53">
        <v>31</v>
      </c>
      <c r="I314" s="53">
        <v>9.1999999999999993</v>
      </c>
      <c r="J314" s="53">
        <v>5.9</v>
      </c>
      <c r="K314" s="53">
        <v>7.4</v>
      </c>
      <c r="L314" s="53">
        <v>0.3</v>
      </c>
    </row>
    <row r="315" spans="1:12" ht="18" customHeight="1">
      <c r="B315" s="74"/>
      <c r="C315" s="64" t="s">
        <v>39</v>
      </c>
      <c r="D315" s="37"/>
      <c r="E315" s="117">
        <f>SUM(E313:E314)/2</f>
        <v>0.5</v>
      </c>
      <c r="F315" s="117">
        <f t="shared" ref="F315:L315" si="77">SUM(F313:F314)/2</f>
        <v>2.7</v>
      </c>
      <c r="G315" s="117">
        <f t="shared" si="77"/>
        <v>3.2</v>
      </c>
      <c r="H315" s="117">
        <f t="shared" si="77"/>
        <v>41</v>
      </c>
      <c r="I315" s="117">
        <f t="shared" si="77"/>
        <v>5.4499999999999993</v>
      </c>
      <c r="J315" s="117">
        <f t="shared" si="77"/>
        <v>10.25</v>
      </c>
      <c r="K315" s="117">
        <f t="shared" si="77"/>
        <v>7.75</v>
      </c>
      <c r="L315" s="117">
        <f t="shared" si="77"/>
        <v>0.5</v>
      </c>
    </row>
    <row r="316" spans="1:12" ht="18" customHeight="1">
      <c r="B316" s="69" t="s">
        <v>137</v>
      </c>
      <c r="C316" s="64" t="s">
        <v>42</v>
      </c>
      <c r="D316" s="128" t="s">
        <v>136</v>
      </c>
      <c r="E316" s="43">
        <v>6.3</v>
      </c>
      <c r="F316" s="43">
        <v>11.3</v>
      </c>
      <c r="G316" s="43">
        <v>12.05</v>
      </c>
      <c r="H316" s="43">
        <v>175</v>
      </c>
      <c r="I316" s="43">
        <v>8.1999999999999993</v>
      </c>
      <c r="J316" s="43">
        <v>22.95</v>
      </c>
      <c r="K316" s="43">
        <v>29.1</v>
      </c>
      <c r="L316" s="43">
        <v>1.32</v>
      </c>
    </row>
    <row r="317" spans="1:12" s="65" customFormat="1" ht="16.149999999999999" customHeight="1">
      <c r="B317" s="130" t="s">
        <v>150</v>
      </c>
      <c r="C317" s="64" t="s">
        <v>259</v>
      </c>
      <c r="D317" s="69">
        <v>60</v>
      </c>
      <c r="E317" s="68">
        <v>10.6</v>
      </c>
      <c r="F317" s="68">
        <v>7.4</v>
      </c>
      <c r="G317" s="68">
        <v>1.1000000000000001</v>
      </c>
      <c r="H317" s="68">
        <v>113.4</v>
      </c>
      <c r="I317" s="68">
        <v>0.86</v>
      </c>
      <c r="J317" s="68">
        <v>11.5</v>
      </c>
      <c r="K317" s="68">
        <v>10.7</v>
      </c>
      <c r="L317" s="68">
        <v>0.7</v>
      </c>
    </row>
    <row r="318" spans="1:12" s="65" customFormat="1" ht="18" customHeight="1">
      <c r="B318" s="127" t="s">
        <v>128</v>
      </c>
      <c r="C318" s="64" t="s">
        <v>203</v>
      </c>
      <c r="D318" s="69">
        <v>100</v>
      </c>
      <c r="E318" s="68">
        <v>2.1</v>
      </c>
      <c r="F318" s="68">
        <v>1.9</v>
      </c>
      <c r="G318" s="68">
        <v>8</v>
      </c>
      <c r="H318" s="68">
        <v>62</v>
      </c>
      <c r="I318" s="68">
        <v>20.8</v>
      </c>
      <c r="J318" s="68">
        <v>54</v>
      </c>
      <c r="K318" s="68">
        <v>31</v>
      </c>
      <c r="L318" s="68">
        <v>0.7</v>
      </c>
    </row>
    <row r="319" spans="1:12" s="65" customFormat="1" ht="18" customHeight="1">
      <c r="B319" s="127" t="s">
        <v>123</v>
      </c>
      <c r="C319" s="64" t="s">
        <v>84</v>
      </c>
      <c r="D319" s="128">
        <v>180</v>
      </c>
      <c r="E319" s="68">
        <v>0.4</v>
      </c>
      <c r="F319" s="68">
        <v>0.02</v>
      </c>
      <c r="G319" s="68">
        <v>19</v>
      </c>
      <c r="H319" s="68">
        <v>77.7</v>
      </c>
      <c r="I319" s="68">
        <v>0.36</v>
      </c>
      <c r="J319" s="68">
        <v>28.54</v>
      </c>
      <c r="K319" s="68">
        <v>5.4</v>
      </c>
      <c r="L319" s="68">
        <v>1.1100000000000001</v>
      </c>
    </row>
    <row r="320" spans="1:12" ht="18" customHeight="1">
      <c r="A320" s="35">
        <v>10</v>
      </c>
      <c r="B320" s="36"/>
      <c r="C320" s="36" t="s">
        <v>14</v>
      </c>
      <c r="D320" s="37">
        <v>590</v>
      </c>
      <c r="E320" s="36">
        <f t="shared" ref="E320:L320" si="78">SUM(E315:E319)</f>
        <v>19.899999999999999</v>
      </c>
      <c r="F320" s="112">
        <f t="shared" si="78"/>
        <v>23.319999999999997</v>
      </c>
      <c r="G320" s="112">
        <f t="shared" si="78"/>
        <v>43.35</v>
      </c>
      <c r="H320" s="112">
        <f t="shared" si="78"/>
        <v>469.09999999999997</v>
      </c>
      <c r="I320" s="112">
        <f t="shared" si="78"/>
        <v>35.67</v>
      </c>
      <c r="J320" s="112">
        <f t="shared" si="78"/>
        <v>127.24000000000001</v>
      </c>
      <c r="K320" s="112">
        <f t="shared" si="78"/>
        <v>83.95</v>
      </c>
      <c r="L320" s="112">
        <f t="shared" si="78"/>
        <v>4.33</v>
      </c>
    </row>
    <row r="321" spans="1:12" ht="18" customHeight="1">
      <c r="A321" s="35">
        <v>10</v>
      </c>
      <c r="B321" s="138" t="s">
        <v>256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</row>
    <row r="322" spans="1:12" s="65" customFormat="1" ht="18" customHeight="1">
      <c r="B322" s="127" t="s">
        <v>140</v>
      </c>
      <c r="C322" s="64" t="s">
        <v>141</v>
      </c>
      <c r="D322" s="69">
        <v>65</v>
      </c>
      <c r="E322" s="68">
        <v>0.26</v>
      </c>
      <c r="F322" s="68">
        <v>0.26</v>
      </c>
      <c r="G322" s="68">
        <v>20.100000000000001</v>
      </c>
      <c r="H322" s="68">
        <v>84.5</v>
      </c>
      <c r="I322" s="68">
        <v>2.7</v>
      </c>
      <c r="J322" s="68">
        <v>10.6</v>
      </c>
      <c r="K322" s="68">
        <v>5.7</v>
      </c>
      <c r="L322" s="68">
        <v>1.4</v>
      </c>
    </row>
    <row r="323" spans="1:12" s="65" customFormat="1" ht="18" customHeight="1">
      <c r="B323" s="85"/>
      <c r="C323" s="85" t="s">
        <v>14</v>
      </c>
      <c r="D323" s="69">
        <f t="shared" ref="D323:L323" si="79">SUM(D322)</f>
        <v>65</v>
      </c>
      <c r="E323" s="85">
        <f t="shared" si="79"/>
        <v>0.26</v>
      </c>
      <c r="F323" s="85">
        <f t="shared" si="79"/>
        <v>0.26</v>
      </c>
      <c r="G323" s="85">
        <f t="shared" si="79"/>
        <v>20.100000000000001</v>
      </c>
      <c r="H323" s="85">
        <f t="shared" si="79"/>
        <v>84.5</v>
      </c>
      <c r="I323" s="85">
        <f t="shared" si="79"/>
        <v>2.7</v>
      </c>
      <c r="J323" s="85">
        <f t="shared" si="79"/>
        <v>10.6</v>
      </c>
      <c r="K323" s="85">
        <f t="shared" si="79"/>
        <v>5.7</v>
      </c>
      <c r="L323" s="85">
        <f t="shared" si="79"/>
        <v>1.4</v>
      </c>
    </row>
    <row r="324" spans="1:12" s="65" customFormat="1" ht="18" customHeight="1">
      <c r="B324" s="135" t="s">
        <v>194</v>
      </c>
      <c r="C324" s="136"/>
      <c r="D324" s="136"/>
      <c r="E324" s="136"/>
      <c r="F324" s="136"/>
      <c r="G324" s="136"/>
      <c r="H324" s="136"/>
      <c r="I324" s="136"/>
      <c r="J324" s="136"/>
      <c r="K324" s="136"/>
      <c r="L324" s="137"/>
    </row>
    <row r="325" spans="1:12" s="65" customFormat="1" ht="19.5" customHeight="1">
      <c r="B325" s="127" t="s">
        <v>187</v>
      </c>
      <c r="C325" s="64" t="s">
        <v>188</v>
      </c>
      <c r="D325" s="69">
        <v>60</v>
      </c>
      <c r="E325" s="68">
        <v>10.8</v>
      </c>
      <c r="F325" s="68">
        <v>21</v>
      </c>
      <c r="G325" s="68">
        <v>0.59</v>
      </c>
      <c r="H325" s="68">
        <v>235</v>
      </c>
      <c r="I325" s="68">
        <v>0.28999999999999998</v>
      </c>
      <c r="J325" s="68">
        <v>6.92</v>
      </c>
      <c r="K325" s="68">
        <v>16</v>
      </c>
      <c r="L325" s="68">
        <v>1.24</v>
      </c>
    </row>
    <row r="326" spans="1:12" s="65" customFormat="1" ht="18" customHeight="1">
      <c r="A326" s="65">
        <v>6</v>
      </c>
      <c r="B326" s="134" t="s">
        <v>267</v>
      </c>
      <c r="C326" s="64" t="s">
        <v>253</v>
      </c>
      <c r="D326" s="92">
        <v>120</v>
      </c>
      <c r="E326" s="53">
        <v>11.6</v>
      </c>
      <c r="F326" s="53">
        <v>4</v>
      </c>
      <c r="G326" s="53">
        <v>27</v>
      </c>
      <c r="H326" s="53">
        <v>190.8</v>
      </c>
      <c r="I326" s="53">
        <v>0</v>
      </c>
      <c r="J326" s="53">
        <v>62</v>
      </c>
      <c r="K326" s="53">
        <v>56</v>
      </c>
      <c r="L326" s="53">
        <v>3.56</v>
      </c>
    </row>
    <row r="327" spans="1:12" ht="18.600000000000001" customHeight="1">
      <c r="A327" s="35">
        <v>10</v>
      </c>
      <c r="B327" s="47" t="s">
        <v>88</v>
      </c>
      <c r="C327" s="48" t="s">
        <v>204</v>
      </c>
      <c r="D327" s="49">
        <v>180</v>
      </c>
      <c r="E327" s="68">
        <v>0.18</v>
      </c>
      <c r="F327" s="68">
        <v>0.09</v>
      </c>
      <c r="G327" s="68">
        <v>10.98</v>
      </c>
      <c r="H327" s="68">
        <v>44.1</v>
      </c>
      <c r="I327" s="68">
        <v>1.44</v>
      </c>
      <c r="J327" s="68">
        <v>5.29</v>
      </c>
      <c r="K327" s="68">
        <v>2.82</v>
      </c>
      <c r="L327" s="68">
        <v>0.7</v>
      </c>
    </row>
    <row r="328" spans="1:12" s="65" customFormat="1" ht="18" customHeight="1">
      <c r="B328" s="69" t="s">
        <v>262</v>
      </c>
      <c r="C328" s="64" t="s">
        <v>260</v>
      </c>
      <c r="D328" s="131">
        <v>95</v>
      </c>
      <c r="E328" s="68">
        <v>0.38</v>
      </c>
      <c r="F328" s="68">
        <v>0.28000000000000003</v>
      </c>
      <c r="G328" s="68">
        <v>9.8000000000000007</v>
      </c>
      <c r="H328" s="68">
        <v>44</v>
      </c>
      <c r="I328" s="68">
        <v>4.75</v>
      </c>
      <c r="J328" s="68">
        <v>18</v>
      </c>
      <c r="K328" s="68">
        <v>11</v>
      </c>
      <c r="L328" s="68">
        <v>2.2000000000000002</v>
      </c>
    </row>
    <row r="329" spans="1:12" ht="18" customHeight="1">
      <c r="A329" s="35">
        <v>10</v>
      </c>
      <c r="B329" s="36"/>
      <c r="C329" s="36" t="s">
        <v>14</v>
      </c>
      <c r="D329" s="37">
        <f t="shared" ref="D329:L329" si="80">SUM(D325:D327)</f>
        <v>360</v>
      </c>
      <c r="E329" s="36">
        <f t="shared" si="80"/>
        <v>22.58</v>
      </c>
      <c r="F329" s="116">
        <f t="shared" si="80"/>
        <v>25.09</v>
      </c>
      <c r="G329" s="116">
        <f t="shared" si="80"/>
        <v>38.57</v>
      </c>
      <c r="H329" s="116">
        <f t="shared" si="80"/>
        <v>469.90000000000003</v>
      </c>
      <c r="I329" s="116">
        <f t="shared" si="80"/>
        <v>1.73</v>
      </c>
      <c r="J329" s="116">
        <f t="shared" si="80"/>
        <v>74.210000000000008</v>
      </c>
      <c r="K329" s="116">
        <f t="shared" si="80"/>
        <v>74.819999999999993</v>
      </c>
      <c r="L329" s="116">
        <f t="shared" si="80"/>
        <v>5.5</v>
      </c>
    </row>
    <row r="330" spans="1:12" ht="18" customHeight="1">
      <c r="A330" s="35">
        <v>10</v>
      </c>
      <c r="B330" s="36"/>
      <c r="C330" s="36" t="s">
        <v>25</v>
      </c>
      <c r="D330" s="37">
        <f>D329+D323+D320+D311+D308</f>
        <v>1490</v>
      </c>
      <c r="E330" s="99">
        <f t="shared" ref="E330:L330" si="81">E329+E323+E320+E311+E308</f>
        <v>48.69</v>
      </c>
      <c r="F330" s="116">
        <f t="shared" si="81"/>
        <v>56.68</v>
      </c>
      <c r="G330" s="116">
        <f t="shared" si="81"/>
        <v>131.74</v>
      </c>
      <c r="H330" s="116">
        <f>H329+H323+H320+H311+H308</f>
        <v>1238.45</v>
      </c>
      <c r="I330" s="116">
        <f t="shared" si="81"/>
        <v>43.29</v>
      </c>
      <c r="J330" s="116">
        <f t="shared" si="81"/>
        <v>236.56</v>
      </c>
      <c r="K330" s="116">
        <f t="shared" si="81"/>
        <v>208.57</v>
      </c>
      <c r="L330" s="116">
        <f t="shared" si="81"/>
        <v>14.84</v>
      </c>
    </row>
    <row r="331" spans="1:12" s="65" customFormat="1" ht="20.100000000000001" customHeight="1">
      <c r="B331" s="121"/>
      <c r="C331" s="121" t="s">
        <v>93</v>
      </c>
      <c r="D331" s="122"/>
      <c r="E331" s="121">
        <v>42</v>
      </c>
      <c r="F331" s="121">
        <v>47</v>
      </c>
      <c r="G331" s="121">
        <v>203</v>
      </c>
      <c r="H331" s="121">
        <v>1400</v>
      </c>
      <c r="I331" s="121">
        <v>45</v>
      </c>
      <c r="J331" s="121">
        <v>800</v>
      </c>
      <c r="K331" s="121">
        <v>80</v>
      </c>
      <c r="L331" s="121">
        <v>10</v>
      </c>
    </row>
    <row r="332" spans="1:12" s="65" customFormat="1" ht="20.100000000000001" customHeight="1">
      <c r="B332" s="123"/>
      <c r="C332" s="123" t="s">
        <v>94</v>
      </c>
      <c r="D332" s="124"/>
      <c r="E332" s="123">
        <f>ROUND(E330/E331*100-100,2)</f>
        <v>15.93</v>
      </c>
      <c r="F332" s="123">
        <f t="shared" ref="F332:L332" si="82">ROUND(F330/F331*100-100,2)</f>
        <v>20.6</v>
      </c>
      <c r="G332" s="123">
        <f t="shared" si="82"/>
        <v>-35.1</v>
      </c>
      <c r="H332" s="123">
        <f t="shared" si="82"/>
        <v>-11.54</v>
      </c>
      <c r="I332" s="123">
        <f t="shared" si="82"/>
        <v>-3.8</v>
      </c>
      <c r="J332" s="123">
        <f t="shared" si="82"/>
        <v>-70.430000000000007</v>
      </c>
      <c r="K332" s="123">
        <f t="shared" si="82"/>
        <v>160.71</v>
      </c>
      <c r="L332" s="123">
        <f t="shared" si="82"/>
        <v>48.4</v>
      </c>
    </row>
    <row r="334" spans="1:12" ht="20.25">
      <c r="B334" s="119" t="s">
        <v>92</v>
      </c>
      <c r="C334" s="119"/>
    </row>
    <row r="336" spans="1:12">
      <c r="C336" s="35" t="s">
        <v>99</v>
      </c>
      <c r="D336" s="54">
        <f>SUM(H308+H273+H239+H207+H174+H142+H110+H75+H42+H9)/10</f>
        <v>132.99</v>
      </c>
    </row>
    <row r="337" spans="3:4">
      <c r="C337" s="35" t="s">
        <v>100</v>
      </c>
      <c r="D337" s="54">
        <f>SUM(H12+H45+H78+H113+H145+H177+H210+H242+H276+H311)/10</f>
        <v>63.2</v>
      </c>
    </row>
    <row r="338" spans="3:4">
      <c r="C338" s="35" t="s">
        <v>47</v>
      </c>
      <c r="D338" s="54">
        <f>SUM(H20+H53+H85+H119+H152+H186+H217+H249+H283+H320)/10</f>
        <v>440.13400000000001</v>
      </c>
    </row>
    <row r="339" spans="3:4">
      <c r="C339" s="35" t="s">
        <v>48</v>
      </c>
      <c r="D339" s="54">
        <f>SUM(H23+H56+H88+H122+H155+H189+H220+H252+H286+H323)/10</f>
        <v>55.609999999999992</v>
      </c>
    </row>
    <row r="340" spans="3:4">
      <c r="C340" s="35" t="s">
        <v>101</v>
      </c>
      <c r="D340" s="54">
        <f>SUM(H29+H62+H97+H129+H161+H194+H226+H261+H295)/10</f>
        <v>259.06800000000004</v>
      </c>
    </row>
  </sheetData>
  <mergeCells count="110">
    <mergeCell ref="B305:L305"/>
    <mergeCell ref="B312:L312"/>
    <mergeCell ref="B234:B235"/>
    <mergeCell ref="C234:C235"/>
    <mergeCell ref="D234:D235"/>
    <mergeCell ref="E234:G234"/>
    <mergeCell ref="H234:H235"/>
    <mergeCell ref="J234:L234"/>
    <mergeCell ref="B268:B269"/>
    <mergeCell ref="C268:C269"/>
    <mergeCell ref="D268:D269"/>
    <mergeCell ref="E268:G268"/>
    <mergeCell ref="H268:H269"/>
    <mergeCell ref="B253:L253"/>
    <mergeCell ref="B287:L287"/>
    <mergeCell ref="B309:L309"/>
    <mergeCell ref="B277:L277"/>
    <mergeCell ref="J268:L268"/>
    <mergeCell ref="B324:L324"/>
    <mergeCell ref="B190:L190"/>
    <mergeCell ref="B139:L139"/>
    <mergeCell ref="C105:C106"/>
    <mergeCell ref="D105:D106"/>
    <mergeCell ref="E105:G105"/>
    <mergeCell ref="H105:H106"/>
    <mergeCell ref="J105:L105"/>
    <mergeCell ref="B321:L321"/>
    <mergeCell ref="B270:L270"/>
    <mergeCell ref="B146:L146"/>
    <mergeCell ref="B153:L153"/>
    <mergeCell ref="B171:L171"/>
    <mergeCell ref="B178:L178"/>
    <mergeCell ref="B187:L187"/>
    <mergeCell ref="B204:L204"/>
    <mergeCell ref="B211:L211"/>
    <mergeCell ref="B218:L218"/>
    <mergeCell ref="B236:L236"/>
    <mergeCell ref="B243:L243"/>
    <mergeCell ref="B250:L250"/>
    <mergeCell ref="B169:B170"/>
    <mergeCell ref="C169:C170"/>
    <mergeCell ref="B143:L143"/>
    <mergeCell ref="J37:L37"/>
    <mergeCell ref="B69:B70"/>
    <mergeCell ref="C69:C70"/>
    <mergeCell ref="D69:D70"/>
    <mergeCell ref="B76:L76"/>
    <mergeCell ref="B111:L111"/>
    <mergeCell ref="H137:H138"/>
    <mergeCell ref="J137:L137"/>
    <mergeCell ref="B137:B138"/>
    <mergeCell ref="C137:C138"/>
    <mergeCell ref="D137:D138"/>
    <mergeCell ref="H69:H70"/>
    <mergeCell ref="J69:L69"/>
    <mergeCell ref="B37:B38"/>
    <mergeCell ref="B71:L71"/>
    <mergeCell ref="B54:L54"/>
    <mergeCell ref="B46:L46"/>
    <mergeCell ref="B39:L39"/>
    <mergeCell ref="E137:G137"/>
    <mergeCell ref="B79:L79"/>
    <mergeCell ref="B86:L86"/>
    <mergeCell ref="B107:L107"/>
    <mergeCell ref="B114:L114"/>
    <mergeCell ref="B120:L120"/>
    <mergeCell ref="J4:L4"/>
    <mergeCell ref="B6:L6"/>
    <mergeCell ref="B13:L13"/>
    <mergeCell ref="B21:L21"/>
    <mergeCell ref="B4:B5"/>
    <mergeCell ref="C4:C5"/>
    <mergeCell ref="D4:D5"/>
    <mergeCell ref="E4:G4"/>
    <mergeCell ref="H4:H5"/>
    <mergeCell ref="B10:L10"/>
    <mergeCell ref="B105:B106"/>
    <mergeCell ref="J169:L169"/>
    <mergeCell ref="B202:B203"/>
    <mergeCell ref="C202:C203"/>
    <mergeCell ref="D202:D203"/>
    <mergeCell ref="E202:G202"/>
    <mergeCell ref="B221:L221"/>
    <mergeCell ref="D169:D170"/>
    <mergeCell ref="E169:G169"/>
    <mergeCell ref="H169:H170"/>
    <mergeCell ref="B24:L24"/>
    <mergeCell ref="B57:L57"/>
    <mergeCell ref="B89:L89"/>
    <mergeCell ref="B123:L123"/>
    <mergeCell ref="B156:L156"/>
    <mergeCell ref="J303:L303"/>
    <mergeCell ref="B303:B304"/>
    <mergeCell ref="C303:C304"/>
    <mergeCell ref="D303:D304"/>
    <mergeCell ref="E303:G303"/>
    <mergeCell ref="H303:H304"/>
    <mergeCell ref="B175:L175"/>
    <mergeCell ref="B208:L208"/>
    <mergeCell ref="B240:L240"/>
    <mergeCell ref="B274:L274"/>
    <mergeCell ref="B284:L284"/>
    <mergeCell ref="C37:C38"/>
    <mergeCell ref="D37:D38"/>
    <mergeCell ref="E37:G37"/>
    <mergeCell ref="H37:H38"/>
    <mergeCell ref="B43:L43"/>
    <mergeCell ref="H202:H203"/>
    <mergeCell ref="J202:L202"/>
    <mergeCell ref="E69:G69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32" max="16383" man="1"/>
    <brk id="65" max="16383" man="1"/>
    <brk id="100" max="16383" man="1"/>
    <brk id="132" max="16383" man="1"/>
    <brk id="164" max="16383" man="1"/>
    <brk id="198" max="16383" man="1"/>
    <brk id="229" max="16383" man="1"/>
    <brk id="264" max="16383" man="1"/>
    <brk id="2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15"/>
  <sheetViews>
    <sheetView workbookViewId="0">
      <selection activeCell="G15" sqref="G15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0" width="9.28515625" style="1" bestFit="1" customWidth="1"/>
    <col min="11" max="11" width="9.140625" style="1"/>
    <col min="12" max="12" width="32.42578125" style="1" hidden="1" customWidth="1"/>
    <col min="13" max="16" width="9.28515625" style="1" hidden="1" customWidth="1"/>
    <col min="17" max="16384" width="9.140625" style="1"/>
  </cols>
  <sheetData>
    <row r="2" spans="2:16" ht="40.5" customHeight="1" thickBot="1">
      <c r="B2" s="149" t="s">
        <v>29</v>
      </c>
      <c r="C2" s="149"/>
      <c r="D2" s="149"/>
      <c r="E2" s="149"/>
      <c r="F2" s="149"/>
      <c r="G2" s="149"/>
      <c r="H2" s="149"/>
      <c r="I2" s="149"/>
      <c r="J2" s="149"/>
    </row>
    <row r="3" spans="2:16" ht="75" customHeight="1" thickBot="1">
      <c r="B3" s="16" t="s">
        <v>26</v>
      </c>
      <c r="C3" s="156" t="s">
        <v>3</v>
      </c>
      <c r="D3" s="156"/>
      <c r="E3" s="156"/>
      <c r="F3" s="156" t="s">
        <v>27</v>
      </c>
      <c r="G3" s="101" t="s">
        <v>82</v>
      </c>
      <c r="H3" s="156" t="s">
        <v>5</v>
      </c>
      <c r="I3" s="156"/>
      <c r="J3" s="156"/>
      <c r="L3" s="153" t="s">
        <v>32</v>
      </c>
      <c r="M3" s="150" t="s">
        <v>3</v>
      </c>
      <c r="N3" s="151"/>
      <c r="O3" s="152"/>
      <c r="P3" s="2" t="s">
        <v>30</v>
      </c>
    </row>
    <row r="4" spans="2:16" ht="19.5" customHeight="1" thickBot="1">
      <c r="B4" s="17"/>
      <c r="C4" s="16" t="s">
        <v>6</v>
      </c>
      <c r="D4" s="16" t="s">
        <v>7</v>
      </c>
      <c r="E4" s="16" t="s">
        <v>8</v>
      </c>
      <c r="F4" s="156"/>
      <c r="G4" s="16" t="s">
        <v>9</v>
      </c>
      <c r="H4" s="16" t="s">
        <v>10</v>
      </c>
      <c r="I4" s="16" t="s">
        <v>11</v>
      </c>
      <c r="J4" s="16" t="s">
        <v>12</v>
      </c>
      <c r="L4" s="154"/>
      <c r="M4" s="3" t="s">
        <v>6</v>
      </c>
      <c r="N4" s="3" t="s">
        <v>7</v>
      </c>
      <c r="O4" s="3" t="s">
        <v>8</v>
      </c>
      <c r="P4" s="4" t="s">
        <v>31</v>
      </c>
    </row>
    <row r="5" spans="2:16" ht="16.5" customHeight="1" thickBot="1">
      <c r="B5" s="18">
        <v>1</v>
      </c>
      <c r="C5" s="19">
        <f>'на выход'!E30</f>
        <v>32.480000000000004</v>
      </c>
      <c r="D5" s="19">
        <f>'на выход'!F30</f>
        <v>42.17</v>
      </c>
      <c r="E5" s="19">
        <f>'на выход'!G30</f>
        <v>125.41</v>
      </c>
      <c r="F5" s="19">
        <f>'на выход'!H30</f>
        <v>1021.3500000000001</v>
      </c>
      <c r="G5" s="19">
        <f>'на выход'!I30</f>
        <v>50.82</v>
      </c>
      <c r="H5" s="19">
        <f>'на выход'!J30</f>
        <v>233.55</v>
      </c>
      <c r="I5" s="19">
        <f>'на выход'!K30</f>
        <v>186.48000000000002</v>
      </c>
      <c r="J5" s="19">
        <f>'на выход'!L30</f>
        <v>13.89</v>
      </c>
      <c r="L5" s="155"/>
      <c r="M5" s="5" t="s">
        <v>33</v>
      </c>
      <c r="N5" s="5" t="s">
        <v>34</v>
      </c>
      <c r="O5" s="5" t="s">
        <v>35</v>
      </c>
      <c r="P5" s="6" t="s">
        <v>36</v>
      </c>
    </row>
    <row r="6" spans="2:16" ht="16.5" customHeight="1" thickBot="1">
      <c r="B6" s="18">
        <v>2</v>
      </c>
      <c r="C6" s="19">
        <f>'на выход'!E63</f>
        <v>25.87</v>
      </c>
      <c r="D6" s="19">
        <f>'на выход'!F63</f>
        <v>35</v>
      </c>
      <c r="E6" s="19">
        <f>'на выход'!G63</f>
        <v>119.61999999999999</v>
      </c>
      <c r="F6" s="19">
        <f>'на выход'!H63</f>
        <v>897.07999999999993</v>
      </c>
      <c r="G6" s="19">
        <f>'на выход'!I63</f>
        <v>50.79</v>
      </c>
      <c r="H6" s="19">
        <f>'на выход'!J63</f>
        <v>202.56</v>
      </c>
      <c r="I6" s="19">
        <f>'на выход'!K63</f>
        <v>136.57999999999998</v>
      </c>
      <c r="J6" s="19">
        <f>'на выход'!L63</f>
        <v>12.77</v>
      </c>
      <c r="L6" s="7" t="s">
        <v>37</v>
      </c>
      <c r="M6" s="8">
        <f>C15</f>
        <v>333.62</v>
      </c>
      <c r="N6" s="8">
        <f>D15</f>
        <v>434.20500000000004</v>
      </c>
      <c r="O6" s="8">
        <f>E15</f>
        <v>1173.95</v>
      </c>
      <c r="P6" s="8">
        <f>F15</f>
        <v>10199.92</v>
      </c>
    </row>
    <row r="7" spans="2:16" ht="16.5" customHeight="1" thickBot="1">
      <c r="B7" s="18">
        <v>3</v>
      </c>
      <c r="C7" s="19">
        <f>'на выход'!E98</f>
        <v>35.479999999999997</v>
      </c>
      <c r="D7" s="19">
        <f>'на выход'!F98</f>
        <v>41.925000000000004</v>
      </c>
      <c r="E7" s="19">
        <f>'на выход'!G98</f>
        <v>126.59</v>
      </c>
      <c r="F7" s="19">
        <f>'на выход'!H98</f>
        <v>1033.98</v>
      </c>
      <c r="G7" s="19">
        <f>'на выход'!I98</f>
        <v>76.81</v>
      </c>
      <c r="H7" s="19">
        <f>'на выход'!J98</f>
        <v>240.01500000000001</v>
      </c>
      <c r="I7" s="19">
        <f>'на выход'!K98</f>
        <v>211.76</v>
      </c>
      <c r="J7" s="19">
        <f>'на выход'!L98</f>
        <v>13.44</v>
      </c>
      <c r="L7" s="7" t="s">
        <v>38</v>
      </c>
      <c r="M7" s="8">
        <f>M6/10</f>
        <v>33.362000000000002</v>
      </c>
      <c r="N7" s="8">
        <f>N6/10</f>
        <v>43.420500000000004</v>
      </c>
      <c r="O7" s="8">
        <f>O6/10</f>
        <v>117.39500000000001</v>
      </c>
      <c r="P7" s="8">
        <f>P6/10</f>
        <v>1019.992</v>
      </c>
    </row>
    <row r="8" spans="2:16" ht="16.5" customHeight="1">
      <c r="B8" s="18">
        <v>4</v>
      </c>
      <c r="C8" s="19">
        <f>'на выход'!E130</f>
        <v>44.92</v>
      </c>
      <c r="D8" s="19">
        <f>'на выход'!F130</f>
        <v>65.77</v>
      </c>
      <c r="E8" s="19">
        <f>'на выход'!G130</f>
        <v>144.82999999999998</v>
      </c>
      <c r="F8" s="19">
        <f>'на выход'!H130</f>
        <v>1360.65</v>
      </c>
      <c r="G8" s="19">
        <f>'на выход'!I130</f>
        <v>27.849999999999998</v>
      </c>
      <c r="H8" s="19">
        <f>'на выход'!J130</f>
        <v>173.85</v>
      </c>
      <c r="I8" s="19">
        <f>'на выход'!K130</f>
        <v>167.19</v>
      </c>
      <c r="J8" s="19">
        <f>'на выход'!L130</f>
        <v>14.48</v>
      </c>
    </row>
    <row r="9" spans="2:16" ht="16.5" customHeight="1">
      <c r="B9" s="18">
        <v>5</v>
      </c>
      <c r="C9" s="19">
        <f>'на выход'!E162</f>
        <v>32.11</v>
      </c>
      <c r="D9" s="19">
        <f>'на выход'!F162</f>
        <v>35.71</v>
      </c>
      <c r="E9" s="19">
        <f>'на выход'!G162</f>
        <v>124.59</v>
      </c>
      <c r="F9" s="19">
        <f>'на выход'!H162</f>
        <v>958.73000000000013</v>
      </c>
      <c r="G9" s="19">
        <f>'на выход'!I162</f>
        <v>54.649999999999991</v>
      </c>
      <c r="H9" s="19">
        <f>'на выход'!J162</f>
        <v>224.87</v>
      </c>
      <c r="I9" s="19">
        <f>'на выход'!K162</f>
        <v>176.72</v>
      </c>
      <c r="J9" s="19">
        <f>'на выход'!L162</f>
        <v>13.83</v>
      </c>
    </row>
    <row r="10" spans="2:16" ht="16.5" customHeight="1">
      <c r="B10" s="18">
        <v>6</v>
      </c>
      <c r="C10" s="19">
        <f>'на выход'!E196</f>
        <v>25.8</v>
      </c>
      <c r="D10" s="19">
        <f>'на выход'!F196</f>
        <v>41.504999999999995</v>
      </c>
      <c r="E10" s="19">
        <f>'на выход'!G196</f>
        <v>100.34</v>
      </c>
      <c r="F10" s="19">
        <f>'на выход'!H196</f>
        <v>888.63</v>
      </c>
      <c r="G10" s="19">
        <f>'на выход'!I196</f>
        <v>58.59</v>
      </c>
      <c r="H10" s="19">
        <f>'на выход'!J196</f>
        <v>179.82499999999999</v>
      </c>
      <c r="I10" s="19">
        <f>'на выход'!K196</f>
        <v>173.14</v>
      </c>
      <c r="J10" s="19">
        <f>'на выход'!L196</f>
        <v>14.72</v>
      </c>
    </row>
    <row r="11" spans="2:16" ht="16.5" customHeight="1">
      <c r="B11" s="18">
        <v>7</v>
      </c>
      <c r="C11" s="19">
        <f>'на выход'!E227</f>
        <v>25.41</v>
      </c>
      <c r="D11" s="19">
        <f>'на выход'!F227</f>
        <v>44.06</v>
      </c>
      <c r="E11" s="19">
        <f>'на выход'!G227</f>
        <v>95.8</v>
      </c>
      <c r="F11" s="19">
        <f>'на выход'!H227</f>
        <v>969.25</v>
      </c>
      <c r="G11" s="19">
        <f>'на выход'!I227</f>
        <v>16.259999999999998</v>
      </c>
      <c r="H11" s="19">
        <f>'на выход'!J227</f>
        <v>121.03</v>
      </c>
      <c r="I11" s="19">
        <f>'на выход'!K227</f>
        <v>142.9</v>
      </c>
      <c r="J11" s="19">
        <f>'на выход'!L227</f>
        <v>9.99</v>
      </c>
    </row>
    <row r="12" spans="2:16" ht="16.5" customHeight="1">
      <c r="B12" s="18">
        <v>8</v>
      </c>
      <c r="C12" s="19">
        <f>'на выход'!E262</f>
        <v>30.76</v>
      </c>
      <c r="D12" s="19">
        <f>'на выход'!F262</f>
        <v>35.814999999999998</v>
      </c>
      <c r="E12" s="19">
        <f>'на выход'!G262</f>
        <v>89.06</v>
      </c>
      <c r="F12" s="19">
        <f>'на выход'!H262</f>
        <v>914.41000000000008</v>
      </c>
      <c r="G12" s="19">
        <f>'на выход'!I262</f>
        <v>27.199999999999996</v>
      </c>
      <c r="H12" s="19">
        <f>'на выход'!J262</f>
        <v>143.39500000000001</v>
      </c>
      <c r="I12" s="19">
        <f>'на выход'!K262</f>
        <v>135.34999999999997</v>
      </c>
      <c r="J12" s="19">
        <f>'на выход'!L262</f>
        <v>6.9799999999999995</v>
      </c>
    </row>
    <row r="13" spans="2:16" ht="16.5" customHeight="1">
      <c r="B13" s="18">
        <v>9</v>
      </c>
      <c r="C13" s="19">
        <f>'на выход'!E296</f>
        <v>32.1</v>
      </c>
      <c r="D13" s="19">
        <f>'на выход'!F296</f>
        <v>35.57</v>
      </c>
      <c r="E13" s="19">
        <f>'на выход'!G296</f>
        <v>115.97</v>
      </c>
      <c r="F13" s="19">
        <f>'на выход'!H296</f>
        <v>917.39</v>
      </c>
      <c r="G13" s="19">
        <f>'на выход'!I296</f>
        <v>51.819999999999993</v>
      </c>
      <c r="H13" s="19">
        <f>'на выход'!J296</f>
        <v>231.19</v>
      </c>
      <c r="I13" s="19">
        <f>'на выход'!K296</f>
        <v>195.96999999999997</v>
      </c>
      <c r="J13" s="19">
        <f>'на выход'!L296</f>
        <v>12.8</v>
      </c>
    </row>
    <row r="14" spans="2:16" ht="15.75">
      <c r="B14" s="18">
        <v>10</v>
      </c>
      <c r="C14" s="19">
        <f>'на выход'!E330</f>
        <v>48.69</v>
      </c>
      <c r="D14" s="19">
        <f>'на выход'!F330</f>
        <v>56.68</v>
      </c>
      <c r="E14" s="19">
        <f>'на выход'!G330</f>
        <v>131.74</v>
      </c>
      <c r="F14" s="19">
        <f>'на выход'!H330</f>
        <v>1238.45</v>
      </c>
      <c r="G14" s="19">
        <f>'на выход'!I330</f>
        <v>43.29</v>
      </c>
      <c r="H14" s="19">
        <f>'на выход'!J330</f>
        <v>236.56</v>
      </c>
      <c r="I14" s="19">
        <f>'на выход'!K330</f>
        <v>208.57</v>
      </c>
      <c r="J14" s="19">
        <f>'на выход'!L330</f>
        <v>14.84</v>
      </c>
    </row>
    <row r="15" spans="2:16" ht="31.5">
      <c r="B15" s="20" t="s">
        <v>28</v>
      </c>
      <c r="C15" s="21">
        <f>SUM(C5:C14)</f>
        <v>333.62</v>
      </c>
      <c r="D15" s="21">
        <f t="shared" ref="D15:J15" si="0">SUM(D5:D14)</f>
        <v>434.20500000000004</v>
      </c>
      <c r="E15" s="21">
        <f t="shared" si="0"/>
        <v>1173.95</v>
      </c>
      <c r="F15" s="21">
        <f t="shared" si="0"/>
        <v>10199.92</v>
      </c>
      <c r="G15" s="21">
        <f t="shared" si="0"/>
        <v>458.08</v>
      </c>
      <c r="H15" s="21">
        <f t="shared" si="0"/>
        <v>1986.845</v>
      </c>
      <c r="I15" s="21">
        <f t="shared" si="0"/>
        <v>1734.6599999999999</v>
      </c>
      <c r="J15" s="21">
        <f t="shared" si="0"/>
        <v>127.74</v>
      </c>
    </row>
  </sheetData>
  <mergeCells count="6">
    <mergeCell ref="B2:J2"/>
    <mergeCell ref="M3:O3"/>
    <mergeCell ref="L3:L5"/>
    <mergeCell ref="C3:E3"/>
    <mergeCell ref="F3:F4"/>
    <mergeCell ref="H3:J3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C23" sqref="C23"/>
    </sheetView>
  </sheetViews>
  <sheetFormatPr defaultColWidth="9.140625" defaultRowHeight="15"/>
  <cols>
    <col min="1" max="1" width="9.140625" style="62"/>
    <col min="2" max="2" width="48.85546875" style="62" customWidth="1"/>
    <col min="3" max="3" width="12.7109375" style="62" customWidth="1"/>
    <col min="4" max="4" width="13.28515625" style="62" customWidth="1"/>
    <col min="5" max="5" width="12.5703125" style="62" customWidth="1"/>
    <col min="6" max="7" width="14" style="62" customWidth="1"/>
    <col min="8" max="16384" width="9.140625" style="62"/>
  </cols>
  <sheetData>
    <row r="2" spans="2:7">
      <c r="B2" s="157" t="s">
        <v>75</v>
      </c>
      <c r="C2" s="157"/>
      <c r="D2" s="157"/>
      <c r="E2" s="157"/>
      <c r="F2" s="157"/>
      <c r="G2" s="157"/>
    </row>
    <row r="3" spans="2:7">
      <c r="B3" s="158"/>
      <c r="C3" s="158"/>
      <c r="D3" s="158"/>
      <c r="E3" s="158"/>
      <c r="F3" s="158"/>
      <c r="G3" s="158"/>
    </row>
    <row r="4" spans="2:7" ht="37.5">
      <c r="B4" s="76" t="s">
        <v>76</v>
      </c>
      <c r="C4" s="76" t="s">
        <v>13</v>
      </c>
      <c r="D4" s="76" t="s">
        <v>77</v>
      </c>
      <c r="E4" s="76" t="s">
        <v>15</v>
      </c>
      <c r="F4" s="76" t="s">
        <v>81</v>
      </c>
      <c r="G4" s="88" t="s">
        <v>80</v>
      </c>
    </row>
    <row r="5" spans="2:7" ht="18.75">
      <c r="B5" s="77">
        <v>1</v>
      </c>
      <c r="C5" s="78">
        <f>'на выход'!D9</f>
        <v>325</v>
      </c>
      <c r="D5" s="78">
        <f>'на выход'!D12</f>
        <v>150</v>
      </c>
      <c r="E5" s="78">
        <f>'на выход'!D20</f>
        <v>622</v>
      </c>
      <c r="F5" s="78">
        <f>'на выход'!D23</f>
        <v>60</v>
      </c>
      <c r="G5" s="78">
        <f>'на выход'!D29</f>
        <v>460</v>
      </c>
    </row>
    <row r="6" spans="2:7" ht="18.75">
      <c r="B6" s="77">
        <v>2</v>
      </c>
      <c r="C6" s="78">
        <f>'на выход'!D42</f>
        <v>305</v>
      </c>
      <c r="D6" s="78">
        <f>'на выход'!D45</f>
        <v>150</v>
      </c>
      <c r="E6" s="78">
        <f>'на выход'!D53</f>
        <v>540</v>
      </c>
      <c r="F6" s="78">
        <f>'на выход'!D56</f>
        <v>65</v>
      </c>
      <c r="G6" s="78">
        <f>'на выход'!D62</f>
        <v>405</v>
      </c>
    </row>
    <row r="7" spans="2:7" ht="18.75">
      <c r="B7" s="77">
        <v>3</v>
      </c>
      <c r="C7" s="78">
        <f>'на выход'!D75</f>
        <v>325</v>
      </c>
      <c r="D7" s="78">
        <f>'на выход'!D78</f>
        <v>150</v>
      </c>
      <c r="E7" s="78">
        <f>'на выход'!D85</f>
        <v>590</v>
      </c>
      <c r="F7" s="78">
        <f>'на выход'!D88</f>
        <v>100</v>
      </c>
      <c r="G7" s="78">
        <f>'на выход'!D97</f>
        <v>510</v>
      </c>
    </row>
    <row r="8" spans="2:7" ht="18.75">
      <c r="B8" s="77">
        <v>4</v>
      </c>
      <c r="C8" s="78">
        <f>'на выход'!D110</f>
        <v>355</v>
      </c>
      <c r="D8" s="78">
        <f>'на выход'!D113</f>
        <v>150</v>
      </c>
      <c r="E8" s="78">
        <f>'на выход'!D119</f>
        <v>560</v>
      </c>
      <c r="F8" s="78">
        <f>'на выход'!D122</f>
        <v>65</v>
      </c>
      <c r="G8" s="78">
        <f>'на выход'!D129</f>
        <v>455</v>
      </c>
    </row>
    <row r="9" spans="2:7" ht="18.75">
      <c r="B9" s="77">
        <v>5</v>
      </c>
      <c r="C9" s="78">
        <f>'на выход'!D142</f>
        <v>325</v>
      </c>
      <c r="D9" s="78">
        <f>'на выход'!D145</f>
        <v>150</v>
      </c>
      <c r="E9" s="78">
        <f>'на выход'!D152</f>
        <v>560</v>
      </c>
      <c r="F9" s="78">
        <f>'[1]на 100'!D155</f>
        <v>250</v>
      </c>
      <c r="G9" s="78">
        <f>'на выход'!D161</f>
        <v>460</v>
      </c>
    </row>
    <row r="10" spans="2:7" ht="18.75">
      <c r="B10" s="77">
        <v>6</v>
      </c>
      <c r="C10" s="78">
        <f>'на выход'!D174</f>
        <v>325</v>
      </c>
      <c r="D10" s="78">
        <f>'на выход'!D177</f>
        <v>120</v>
      </c>
      <c r="E10" s="78">
        <f>'на выход'!D186</f>
        <v>590</v>
      </c>
      <c r="F10" s="78">
        <f>'на выход'!D194</f>
        <v>120</v>
      </c>
      <c r="G10" s="78">
        <f>'на выход'!D194</f>
        <v>120</v>
      </c>
    </row>
    <row r="11" spans="2:7" ht="18.75">
      <c r="B11" s="77">
        <v>7</v>
      </c>
      <c r="C11" s="78">
        <f>'на выход'!D207</f>
        <v>355</v>
      </c>
      <c r="D11" s="78">
        <f>'на выход'!D210</f>
        <v>150</v>
      </c>
      <c r="E11" s="78">
        <f>'на выход'!D217</f>
        <v>580</v>
      </c>
      <c r="F11" s="78">
        <f>'на выход'!D220</f>
        <v>65</v>
      </c>
      <c r="G11" s="78">
        <f>'на выход'!D226</f>
        <v>320</v>
      </c>
    </row>
    <row r="12" spans="2:7" ht="18.75">
      <c r="B12" s="77">
        <v>8</v>
      </c>
      <c r="C12" s="78">
        <f>'на выход'!D239</f>
        <v>325</v>
      </c>
      <c r="D12" s="78">
        <f>'на выход'!D242</f>
        <v>150</v>
      </c>
      <c r="E12" s="78">
        <f>'на выход'!D249</f>
        <v>570</v>
      </c>
      <c r="F12" s="78">
        <f>'на выход'!D252</f>
        <v>60</v>
      </c>
      <c r="G12" s="78">
        <f>'на выход'!D261</f>
        <v>380</v>
      </c>
    </row>
    <row r="13" spans="2:7" ht="18.75">
      <c r="B13" s="77">
        <v>9</v>
      </c>
      <c r="C13" s="78">
        <f>'на выход'!D273</f>
        <v>305</v>
      </c>
      <c r="D13" s="78">
        <f>'на выход'!D276</f>
        <v>150</v>
      </c>
      <c r="E13" s="78">
        <f>'на выход'!D283</f>
        <v>590</v>
      </c>
      <c r="F13" s="78">
        <f>'на выход'!D286</f>
        <v>100</v>
      </c>
      <c r="G13" s="78">
        <v>490</v>
      </c>
    </row>
    <row r="14" spans="2:7" ht="18.75">
      <c r="B14" s="77">
        <v>10</v>
      </c>
      <c r="C14" s="78">
        <f>'на выход'!D308</f>
        <v>325</v>
      </c>
      <c r="D14" s="78">
        <f>'на выход'!D311</f>
        <v>150</v>
      </c>
      <c r="E14" s="78">
        <f>'на выход'!D320</f>
        <v>590</v>
      </c>
      <c r="F14" s="78">
        <f>'на выход'!D323</f>
        <v>65</v>
      </c>
      <c r="G14" s="78">
        <f>'на выход'!D329</f>
        <v>360</v>
      </c>
    </row>
    <row r="15" spans="2:7" ht="18.75">
      <c r="B15" s="79" t="s">
        <v>78</v>
      </c>
      <c r="C15" s="80">
        <v>350</v>
      </c>
      <c r="D15" s="80">
        <v>100</v>
      </c>
      <c r="E15" s="89">
        <v>450</v>
      </c>
      <c r="F15" s="80">
        <v>200</v>
      </c>
      <c r="G15" s="89">
        <v>400</v>
      </c>
    </row>
    <row r="16" spans="2:7" ht="18.75">
      <c r="B16" s="76" t="s">
        <v>79</v>
      </c>
      <c r="C16" s="81">
        <f>(C5+C6+C7+C8+C9+C10+C11+C12+C13+C14)/10</f>
        <v>327</v>
      </c>
      <c r="D16" s="81">
        <f>(D5+D6+D7+D8+D9+D10+D11+D12+D13+D14)/10</f>
        <v>147</v>
      </c>
      <c r="E16" s="81">
        <f>(E5+E6+E7+E8+E9+E10+E11+E12+E13+E14)/10</f>
        <v>579.20000000000005</v>
      </c>
      <c r="F16" s="81">
        <f>(F5+F6+F7+F8+F9+F10+F11+F12+F13+F14)/10</f>
        <v>95</v>
      </c>
      <c r="G16" s="90">
        <f>(G5+G6+G7+G8+G9+G10+G11+G12+G13+G14)/10</f>
        <v>396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5"/>
  <sheetViews>
    <sheetView tabSelected="1" topLeftCell="A7" workbookViewId="0">
      <selection activeCell="A18" sqref="A18"/>
    </sheetView>
  </sheetViews>
  <sheetFormatPr defaultColWidth="9.140625" defaultRowHeight="18.75"/>
  <cols>
    <col min="1" max="1" width="141.7109375" style="10" customWidth="1"/>
    <col min="2" max="16384" width="9.140625" style="10"/>
  </cols>
  <sheetData>
    <row r="1" spans="1:1">
      <c r="A1" s="9" t="s">
        <v>40</v>
      </c>
    </row>
    <row r="2" spans="1:1" s="13" customFormat="1" ht="33">
      <c r="A2" s="12" t="s">
        <v>102</v>
      </c>
    </row>
    <row r="3" spans="1:1" s="13" customFormat="1" ht="33">
      <c r="A3" s="12" t="s">
        <v>103</v>
      </c>
    </row>
    <row r="4" spans="1:1" s="13" customFormat="1" ht="33">
      <c r="A4" s="12" t="s">
        <v>91</v>
      </c>
    </row>
    <row r="5" spans="1:1" s="13" customFormat="1" ht="33">
      <c r="A5" s="12" t="s">
        <v>108</v>
      </c>
    </row>
    <row r="6" spans="1:1" s="13" customFormat="1" ht="33">
      <c r="A6" s="12" t="s">
        <v>104</v>
      </c>
    </row>
    <row r="7" spans="1:1" s="13" customFormat="1" ht="16.5">
      <c r="A7" s="12" t="s">
        <v>105</v>
      </c>
    </row>
    <row r="8" spans="1:1" s="13" customFormat="1" ht="33">
      <c r="A8" s="12" t="s">
        <v>106</v>
      </c>
    </row>
    <row r="9" spans="1:1" s="13" customFormat="1" ht="16.5">
      <c r="A9" s="14" t="s">
        <v>107</v>
      </c>
    </row>
    <row r="10" spans="1:1" s="13" customFormat="1" ht="49.5">
      <c r="A10" s="15" t="s">
        <v>265</v>
      </c>
    </row>
    <row r="11" spans="1:1" s="13" customFormat="1" ht="16.5">
      <c r="A11" s="14"/>
    </row>
    <row r="12" spans="1:1" s="13" customFormat="1" ht="16.5">
      <c r="A12" s="14" t="s">
        <v>41</v>
      </c>
    </row>
    <row r="13" spans="1:1" s="13" customFormat="1" ht="33">
      <c r="A13" s="15" t="s">
        <v>263</v>
      </c>
    </row>
    <row r="14" spans="1:1" s="166" customFormat="1" ht="65.25" customHeight="1">
      <c r="A14" s="165" t="s">
        <v>269</v>
      </c>
    </row>
    <row r="15" spans="1:1">
      <c r="A15" s="1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23" customWidth="1"/>
    <col min="2" max="6" width="9.140625" style="23"/>
    <col min="7" max="8" width="10.7109375" style="23" customWidth="1"/>
    <col min="9" max="9" width="9.5703125" style="23" customWidth="1"/>
    <col min="10" max="16384" width="9.140625" style="23"/>
  </cols>
  <sheetData>
    <row r="2" spans="1:10">
      <c r="A2" s="28" t="s">
        <v>57</v>
      </c>
    </row>
    <row r="3" spans="1:10" ht="15.75">
      <c r="A3" s="25"/>
      <c r="B3" s="25"/>
      <c r="C3" s="160" t="s">
        <v>56</v>
      </c>
      <c r="D3" s="160"/>
      <c r="E3" s="160" t="s">
        <v>43</v>
      </c>
      <c r="F3" s="160"/>
      <c r="G3" s="160" t="s">
        <v>44</v>
      </c>
      <c r="H3" s="160"/>
      <c r="I3" s="160" t="s">
        <v>45</v>
      </c>
      <c r="J3" s="160"/>
    </row>
    <row r="4" spans="1:10" ht="15.75">
      <c r="A4" s="25"/>
      <c r="B4" s="25"/>
      <c r="C4" s="26" t="s">
        <v>50</v>
      </c>
      <c r="D4" s="26" t="s">
        <v>51</v>
      </c>
      <c r="E4" s="26" t="s">
        <v>50</v>
      </c>
      <c r="F4" s="26" t="s">
        <v>51</v>
      </c>
      <c r="G4" s="26" t="s">
        <v>50</v>
      </c>
      <c r="H4" s="26" t="s">
        <v>51</v>
      </c>
      <c r="I4" s="26" t="s">
        <v>50</v>
      </c>
      <c r="J4" s="26" t="s">
        <v>51</v>
      </c>
    </row>
    <row r="5" spans="1:10" ht="15.75">
      <c r="A5" s="25" t="s">
        <v>46</v>
      </c>
      <c r="B5" s="25" t="s">
        <v>49</v>
      </c>
      <c r="C5" s="25">
        <f>77*20/100</f>
        <v>15.4</v>
      </c>
      <c r="D5" s="25">
        <f>77*25/100</f>
        <v>19.25</v>
      </c>
      <c r="E5" s="25">
        <f>79*20/100</f>
        <v>15.8</v>
      </c>
      <c r="F5" s="25">
        <f>79*25/100</f>
        <v>19.75</v>
      </c>
      <c r="G5" s="25">
        <f>335*20/100</f>
        <v>67</v>
      </c>
      <c r="H5" s="25">
        <f>335*25/100</f>
        <v>83.75</v>
      </c>
      <c r="I5" s="25">
        <f>2350*20/100</f>
        <v>470</v>
      </c>
      <c r="J5" s="25">
        <f>2350*25/100</f>
        <v>587.5</v>
      </c>
    </row>
    <row r="6" spans="1:10" ht="15.75">
      <c r="A6" s="25" t="s">
        <v>47</v>
      </c>
      <c r="B6" s="25" t="s">
        <v>52</v>
      </c>
      <c r="C6" s="25">
        <f>77*30/100</f>
        <v>23.1</v>
      </c>
      <c r="D6" s="25">
        <f>77*35/100</f>
        <v>26.95</v>
      </c>
      <c r="E6" s="25">
        <f>79*30/100</f>
        <v>23.7</v>
      </c>
      <c r="F6" s="25">
        <f>79*35/100</f>
        <v>27.65</v>
      </c>
      <c r="G6" s="25">
        <f>335*30/100</f>
        <v>100.5</v>
      </c>
      <c r="H6" s="25">
        <f>335*35/100</f>
        <v>117.25</v>
      </c>
      <c r="I6" s="25">
        <f>2350*30/100</f>
        <v>705</v>
      </c>
      <c r="J6" s="25">
        <f>2350*35/100</f>
        <v>822.5</v>
      </c>
    </row>
    <row r="7" spans="1:10" ht="15.75">
      <c r="A7" s="25" t="s">
        <v>48</v>
      </c>
      <c r="B7" s="25" t="s">
        <v>53</v>
      </c>
      <c r="C7" s="25">
        <f>77*10/100</f>
        <v>7.7</v>
      </c>
      <c r="D7" s="25">
        <f>77*15/100</f>
        <v>11.55</v>
      </c>
      <c r="E7" s="25">
        <f>79*10/100</f>
        <v>7.9</v>
      </c>
      <c r="F7" s="25">
        <f>79*15/100</f>
        <v>11.85</v>
      </c>
      <c r="G7" s="25">
        <f>335*10/100</f>
        <v>33.5</v>
      </c>
      <c r="H7" s="25">
        <f>335*15/100</f>
        <v>50.25</v>
      </c>
      <c r="I7" s="25">
        <f>2350*10/100</f>
        <v>235</v>
      </c>
      <c r="J7" s="25">
        <f>2350*15/100</f>
        <v>352.5</v>
      </c>
    </row>
    <row r="8" spans="1:10" ht="15.75">
      <c r="A8" s="25" t="s">
        <v>54</v>
      </c>
      <c r="B8" s="25" t="s">
        <v>55</v>
      </c>
      <c r="C8" s="25">
        <f>SUM(C5:C7)</f>
        <v>46.2</v>
      </c>
      <c r="D8" s="25">
        <f t="shared" ref="D8:J8" si="0">SUM(D5:D7)</f>
        <v>57.75</v>
      </c>
      <c r="E8" s="25">
        <f t="shared" si="0"/>
        <v>47.4</v>
      </c>
      <c r="F8" s="25">
        <f t="shared" si="0"/>
        <v>59.25</v>
      </c>
      <c r="G8" s="25">
        <f t="shared" si="0"/>
        <v>201</v>
      </c>
      <c r="H8" s="25">
        <f t="shared" si="0"/>
        <v>251.25</v>
      </c>
      <c r="I8" s="25">
        <f t="shared" si="0"/>
        <v>1410</v>
      </c>
      <c r="J8" s="25">
        <f t="shared" si="0"/>
        <v>1762.5</v>
      </c>
    </row>
    <row r="9" spans="1:10">
      <c r="C9" s="24"/>
    </row>
    <row r="10" spans="1:10">
      <c r="A10" s="23" t="s">
        <v>58</v>
      </c>
    </row>
    <row r="11" spans="1:10" ht="15.75">
      <c r="A11" s="25"/>
      <c r="B11" s="25"/>
      <c r="C11" s="160" t="s">
        <v>56</v>
      </c>
      <c r="D11" s="160"/>
      <c r="E11" s="160" t="s">
        <v>43</v>
      </c>
      <c r="F11" s="160"/>
      <c r="G11" s="160" t="s">
        <v>44</v>
      </c>
      <c r="H11" s="160"/>
      <c r="I11" s="160" t="s">
        <v>45</v>
      </c>
      <c r="J11" s="160"/>
    </row>
    <row r="12" spans="1:10" ht="15.75">
      <c r="A12" s="25"/>
      <c r="B12" s="25"/>
      <c r="C12" s="27" t="s">
        <v>50</v>
      </c>
      <c r="D12" s="27" t="s">
        <v>51</v>
      </c>
      <c r="E12" s="27" t="s">
        <v>50</v>
      </c>
      <c r="F12" s="27" t="s">
        <v>51</v>
      </c>
      <c r="G12" s="27" t="s">
        <v>50</v>
      </c>
      <c r="H12" s="27" t="s">
        <v>51</v>
      </c>
      <c r="I12" s="27" t="s">
        <v>50</v>
      </c>
      <c r="J12" s="27" t="s">
        <v>51</v>
      </c>
    </row>
    <row r="13" spans="1:10" ht="15.75">
      <c r="A13" s="25" t="s">
        <v>46</v>
      </c>
      <c r="B13" s="25" t="s">
        <v>49</v>
      </c>
      <c r="C13" s="25">
        <f>90*20/100</f>
        <v>18</v>
      </c>
      <c r="D13" s="25">
        <f>90*25/100</f>
        <v>22.5</v>
      </c>
      <c r="E13" s="25">
        <f>92*20/100</f>
        <v>18.399999999999999</v>
      </c>
      <c r="F13" s="25">
        <f>92*25/100</f>
        <v>23</v>
      </c>
      <c r="G13" s="25">
        <f>383*20/100</f>
        <v>76.599999999999994</v>
      </c>
      <c r="H13" s="25">
        <f>383*25/100</f>
        <v>95.75</v>
      </c>
      <c r="I13" s="25">
        <f>2720*20/100</f>
        <v>544</v>
      </c>
      <c r="J13" s="25">
        <f>2350*25/100</f>
        <v>587.5</v>
      </c>
    </row>
    <row r="14" spans="1:10" ht="15.75">
      <c r="A14" s="25" t="s">
        <v>47</v>
      </c>
      <c r="B14" s="25" t="s">
        <v>52</v>
      </c>
      <c r="C14" s="25">
        <f>90*30/100</f>
        <v>27</v>
      </c>
      <c r="D14" s="25">
        <f>90*35/100</f>
        <v>31.5</v>
      </c>
      <c r="E14" s="25">
        <f>92*30/100</f>
        <v>27.6</v>
      </c>
      <c r="F14" s="25">
        <f>92*35/100</f>
        <v>32.200000000000003</v>
      </c>
      <c r="G14" s="25">
        <f>383*30/100</f>
        <v>114.9</v>
      </c>
      <c r="H14" s="25">
        <f>383*35/100</f>
        <v>134.05000000000001</v>
      </c>
      <c r="I14" s="25">
        <f>2720*30/100</f>
        <v>816</v>
      </c>
      <c r="J14" s="25">
        <f>2350*35/100</f>
        <v>822.5</v>
      </c>
    </row>
    <row r="15" spans="1:10" ht="15.75">
      <c r="A15" s="25" t="s">
        <v>48</v>
      </c>
      <c r="B15" s="25" t="s">
        <v>53</v>
      </c>
      <c r="C15" s="25">
        <f>90*10/100</f>
        <v>9</v>
      </c>
      <c r="D15" s="25">
        <f>90*15/100</f>
        <v>13.5</v>
      </c>
      <c r="E15" s="25">
        <f>92*10/100</f>
        <v>9.1999999999999993</v>
      </c>
      <c r="F15" s="25">
        <f>92*15/100</f>
        <v>13.8</v>
      </c>
      <c r="G15" s="25">
        <f>383*10/100</f>
        <v>38.299999999999997</v>
      </c>
      <c r="H15" s="25">
        <f>383*15/100</f>
        <v>57.45</v>
      </c>
      <c r="I15" s="25">
        <f>2720*10/100</f>
        <v>272</v>
      </c>
      <c r="J15" s="25">
        <f>2720*15/100</f>
        <v>408</v>
      </c>
    </row>
    <row r="16" spans="1:10" ht="15.75">
      <c r="A16" s="25" t="s">
        <v>54</v>
      </c>
      <c r="B16" s="25" t="s">
        <v>55</v>
      </c>
      <c r="C16" s="25">
        <f>SUM(C13:C15)</f>
        <v>54</v>
      </c>
      <c r="D16" s="25">
        <f t="shared" ref="D16:J16" si="1">SUM(D13:D15)</f>
        <v>67.5</v>
      </c>
      <c r="E16" s="25">
        <f t="shared" si="1"/>
        <v>55.2</v>
      </c>
      <c r="F16" s="25">
        <f t="shared" si="1"/>
        <v>69</v>
      </c>
      <c r="G16" s="25">
        <f t="shared" si="1"/>
        <v>229.8</v>
      </c>
      <c r="H16" s="25">
        <f t="shared" si="1"/>
        <v>287.25</v>
      </c>
      <c r="I16" s="25">
        <f t="shared" si="1"/>
        <v>1632</v>
      </c>
      <c r="J16" s="25">
        <f t="shared" si="1"/>
        <v>1818</v>
      </c>
    </row>
    <row r="17" spans="1:10">
      <c r="C17" s="23">
        <v>60.42</v>
      </c>
      <c r="E17" s="23">
        <v>63.65</v>
      </c>
      <c r="G17" s="23">
        <v>245.7</v>
      </c>
      <c r="I17" s="23">
        <v>1827.17</v>
      </c>
    </row>
    <row r="20" spans="1:10" ht="83.25" customHeight="1">
      <c r="A20" s="162" t="s">
        <v>59</v>
      </c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0" ht="15.75">
      <c r="A21" s="163"/>
      <c r="B21" s="164"/>
      <c r="C21" s="160" t="s">
        <v>56</v>
      </c>
      <c r="D21" s="160"/>
      <c r="E21" s="160" t="s">
        <v>43</v>
      </c>
      <c r="F21" s="160"/>
      <c r="G21" s="160" t="s">
        <v>44</v>
      </c>
      <c r="H21" s="160"/>
      <c r="I21" s="160" t="s">
        <v>45</v>
      </c>
      <c r="J21" s="160"/>
    </row>
    <row r="22" spans="1:10" ht="15.75">
      <c r="A22" s="160"/>
      <c r="B22" s="160"/>
      <c r="C22" s="27" t="s">
        <v>50</v>
      </c>
      <c r="D22" s="27" t="s">
        <v>51</v>
      </c>
      <c r="E22" s="27" t="s">
        <v>50</v>
      </c>
      <c r="F22" s="27" t="s">
        <v>51</v>
      </c>
      <c r="G22" s="27" t="s">
        <v>50</v>
      </c>
      <c r="H22" s="27" t="s">
        <v>51</v>
      </c>
      <c r="I22" s="27" t="s">
        <v>50</v>
      </c>
      <c r="J22" s="27" t="s">
        <v>51</v>
      </c>
    </row>
    <row r="23" spans="1:10" ht="45" customHeight="1">
      <c r="A23" s="161" t="s">
        <v>61</v>
      </c>
      <c r="B23" s="161"/>
      <c r="C23" s="29">
        <v>46.2</v>
      </c>
      <c r="D23" s="29">
        <v>57.75</v>
      </c>
      <c r="E23" s="29">
        <v>47.4</v>
      </c>
      <c r="F23" s="29">
        <v>59.25</v>
      </c>
      <c r="G23" s="29">
        <v>201</v>
      </c>
      <c r="H23" s="29">
        <v>251.25</v>
      </c>
      <c r="I23" s="29">
        <v>1410</v>
      </c>
      <c r="J23" s="29">
        <v>1762.5</v>
      </c>
    </row>
    <row r="24" spans="1:10" ht="45" customHeight="1">
      <c r="A24" s="161" t="s">
        <v>62</v>
      </c>
      <c r="B24" s="161"/>
      <c r="C24" s="29">
        <v>54</v>
      </c>
      <c r="D24" s="29">
        <v>67.5</v>
      </c>
      <c r="E24" s="29">
        <v>55.2</v>
      </c>
      <c r="F24" s="29">
        <v>69</v>
      </c>
      <c r="G24" s="29">
        <v>229.8</v>
      </c>
      <c r="H24" s="29">
        <v>287.25</v>
      </c>
      <c r="I24" s="29">
        <v>1632</v>
      </c>
      <c r="J24" s="29">
        <v>1818</v>
      </c>
    </row>
    <row r="25" spans="1:10" ht="45" customHeight="1">
      <c r="A25" s="161" t="s">
        <v>60</v>
      </c>
      <c r="B25" s="161"/>
      <c r="C25" s="159">
        <v>60.42</v>
      </c>
      <c r="D25" s="159"/>
      <c r="E25" s="159">
        <v>63.65</v>
      </c>
      <c r="F25" s="159"/>
      <c r="G25" s="159">
        <v>245.7</v>
      </c>
      <c r="H25" s="159"/>
      <c r="I25" s="159">
        <v>1827.17</v>
      </c>
      <c r="J25" s="159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на выход</vt:lpstr>
      <vt:lpstr>сводки БЖУ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2024-01-23T00:55:14Z</cp:lastPrinted>
  <dcterms:created xsi:type="dcterms:W3CDTF">2020-10-25T16:40:18Z</dcterms:created>
  <dcterms:modified xsi:type="dcterms:W3CDTF">2024-01-25T12:13:56Z</dcterms:modified>
</cp:coreProperties>
</file>